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4940" windowHeight="12975" activeTab="0"/>
  </bookViews>
  <sheets>
    <sheet name="Bay 0 CAL HV" sheetId="1" r:id="rId1"/>
    <sheet name="Bay 4 CAL HV" sheetId="2" r:id="rId2"/>
    <sheet name="Bay 0 TRK HV " sheetId="3" r:id="rId3"/>
    <sheet name="Bay 4 TRK HV" sheetId="4" r:id="rId4"/>
  </sheets>
  <definedNames/>
  <calcPr fullCalcOnLoad="1"/>
</workbook>
</file>

<file path=xl/sharedStrings.xml><?xml version="1.0" encoding="utf-8"?>
<sst xmlns="http://schemas.openxmlformats.org/spreadsheetml/2006/main" count="236" uniqueCount="54">
  <si>
    <t>DeltaV</t>
  </si>
  <si>
    <t>DeltaCnts</t>
  </si>
  <si>
    <t>Values</t>
  </si>
  <si>
    <t>R1 - load resistor</t>
  </si>
  <si>
    <t>R2 - divider on TEM for TRK</t>
  </si>
  <si>
    <t>R3 - divider on TPS</t>
  </si>
  <si>
    <t>R4 - voltage measured div V0</t>
  </si>
  <si>
    <t>R5 - voltage measured div V0</t>
  </si>
  <si>
    <t>R6 - voltage measured div V1</t>
  </si>
  <si>
    <t>R7 - voltage measured div V1</t>
  </si>
  <si>
    <t>R8 - sence resistor</t>
  </si>
  <si>
    <t>R9 - resistor on TPS V1 side</t>
  </si>
  <si>
    <t>R10 - resistor on TPS V0 side</t>
  </si>
  <si>
    <t>V0 calc for V1</t>
  </si>
  <si>
    <t>V0 R calc</t>
  </si>
  <si>
    <t>V1calc for V0</t>
  </si>
  <si>
    <t>V dummy</t>
  </si>
  <si>
    <t>V0m -  measured V0</t>
  </si>
  <si>
    <t>V1m -  measured V1</t>
  </si>
  <si>
    <t>Error in measurement dV</t>
  </si>
  <si>
    <t>I dummy</t>
  </si>
  <si>
    <t>Error in R7</t>
  </si>
  <si>
    <t>Error in R7 %</t>
  </si>
  <si>
    <t>GLAT1752 Calibration data</t>
  </si>
  <si>
    <t>V0</t>
  </si>
  <si>
    <t>I dvm</t>
  </si>
  <si>
    <t>I measured</t>
  </si>
  <si>
    <t>V1 calc</t>
  </si>
  <si>
    <t>R7 calc</t>
  </si>
  <si>
    <t>R7%error</t>
  </si>
  <si>
    <t>I calc for R7</t>
  </si>
  <si>
    <t>V0 R calc for R1 detector</t>
  </si>
  <si>
    <t>Calc current</t>
  </si>
  <si>
    <t>Est. by model</t>
  </si>
  <si>
    <t>Error, %</t>
  </si>
  <si>
    <t>GLAT2490 Calibration data</t>
  </si>
  <si>
    <t>Calibration load</t>
  </si>
  <si>
    <t>Real detector</t>
  </si>
  <si>
    <t>dVm err</t>
  </si>
  <si>
    <t>Parameters and equasions</t>
  </si>
  <si>
    <t>V</t>
  </si>
  <si>
    <t>Cnts</t>
  </si>
  <si>
    <t>A</t>
  </si>
  <si>
    <t>Ohm</t>
  </si>
  <si>
    <t>%</t>
  </si>
  <si>
    <t>mA</t>
  </si>
  <si>
    <t>Calibration load by estimate</t>
  </si>
  <si>
    <t>model coef.</t>
  </si>
  <si>
    <t>original coef.</t>
  </si>
  <si>
    <t>new unit coef.</t>
  </si>
  <si>
    <t>R1 for detector (found by R7 fitting)</t>
  </si>
  <si>
    <t>GLAT1753 Calibration data</t>
  </si>
  <si>
    <t>GLAT2491 Calibration data</t>
  </si>
  <si>
    <t>combine load, Ohm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</si>
</sst>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%"/>
    <numFmt numFmtId="169" formatCode="0.00000000000"/>
    <numFmt numFmtId="170" formatCode="0.0000000000"/>
    <numFmt numFmtId="171" formatCode="0.000000000"/>
    <numFmt numFmtId="172" formatCode="0.0000"/>
    <numFmt numFmtId="173" formatCode="0.0000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Font="1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11" fontId="1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4"/>
  <sheetViews>
    <sheetView tabSelected="1" workbookViewId="0" topLeftCell="A1">
      <selection activeCell="D27" sqref="D27"/>
    </sheetView>
  </sheetViews>
  <sheetFormatPr defaultColWidth="9.140625" defaultRowHeight="12.75"/>
  <cols>
    <col min="1" max="1" width="32.140625" style="0" bestFit="1" customWidth="1"/>
    <col min="3" max="3" width="16.57421875" style="0" customWidth="1"/>
    <col min="4" max="4" width="23.57421875" style="0" bestFit="1" customWidth="1"/>
    <col min="5" max="5" width="12.57421875" style="0" bestFit="1" customWidth="1"/>
    <col min="6" max="7" width="12.57421875" style="0" customWidth="1"/>
    <col min="9" max="9" width="13.421875" style="0" bestFit="1" customWidth="1"/>
    <col min="13" max="13" width="9.57421875" style="0" bestFit="1" customWidth="1"/>
    <col min="14" max="14" width="14.57421875" style="0" customWidth="1"/>
    <col min="15" max="15" width="16.421875" style="0" customWidth="1"/>
    <col min="16" max="16" width="12.00390625" style="0" bestFit="1" customWidth="1"/>
    <col min="17" max="17" width="12.57421875" style="0" bestFit="1" customWidth="1"/>
    <col min="18" max="18" width="14.28125" style="0" bestFit="1" customWidth="1"/>
  </cols>
  <sheetData>
    <row r="1" spans="1:18" ht="12.75">
      <c r="A1" t="s">
        <v>39</v>
      </c>
      <c r="B1" t="s">
        <v>2</v>
      </c>
      <c r="D1" t="s">
        <v>23</v>
      </c>
      <c r="E1" s="2" t="s">
        <v>24</v>
      </c>
      <c r="F1" s="2" t="s">
        <v>0</v>
      </c>
      <c r="G1" s="2" t="s">
        <v>1</v>
      </c>
      <c r="H1" t="s">
        <v>25</v>
      </c>
      <c r="I1" t="s">
        <v>26</v>
      </c>
      <c r="J1" t="s">
        <v>27</v>
      </c>
      <c r="K1" t="s">
        <v>38</v>
      </c>
      <c r="L1" t="s">
        <v>28</v>
      </c>
      <c r="M1" t="s">
        <v>29</v>
      </c>
      <c r="N1" t="s">
        <v>30</v>
      </c>
      <c r="P1" t="s">
        <v>32</v>
      </c>
      <c r="Q1" t="s">
        <v>33</v>
      </c>
      <c r="R1" t="s">
        <v>34</v>
      </c>
    </row>
    <row r="2" spans="4:17" ht="12.75">
      <c r="D2" t="s">
        <v>36</v>
      </c>
      <c r="E2" s="2" t="s">
        <v>40</v>
      </c>
      <c r="F2" s="2" t="s">
        <v>40</v>
      </c>
      <c r="G2" s="2" t="s">
        <v>41</v>
      </c>
      <c r="H2" s="2" t="s">
        <v>42</v>
      </c>
      <c r="I2" s="2" t="s">
        <v>42</v>
      </c>
      <c r="J2" s="2" t="s">
        <v>40</v>
      </c>
      <c r="K2" s="2" t="s">
        <v>40</v>
      </c>
      <c r="L2" s="2" t="s">
        <v>43</v>
      </c>
      <c r="M2" s="2" t="s">
        <v>44</v>
      </c>
      <c r="N2" s="2" t="s">
        <v>42</v>
      </c>
      <c r="O2" s="2" t="s">
        <v>47</v>
      </c>
      <c r="P2" s="2" t="s">
        <v>45</v>
      </c>
      <c r="Q2" s="2" t="s">
        <v>45</v>
      </c>
    </row>
    <row r="3" spans="1:18" ht="12.75">
      <c r="A3" t="s">
        <v>3</v>
      </c>
      <c r="B3" s="6">
        <v>110000</v>
      </c>
      <c r="E3">
        <v>45.5078376068</v>
      </c>
      <c r="H3" s="6">
        <v>0.00041</v>
      </c>
      <c r="I3" s="6">
        <v>0.000443653786301</v>
      </c>
      <c r="J3" s="7">
        <f>E3*(B15+B10)/B15</f>
        <v>47.959554861019704</v>
      </c>
      <c r="K3">
        <f>(J3-E3-I3*B10)/101</f>
        <v>0.00231136953182873</v>
      </c>
      <c r="L3" s="7">
        <f>(100*J3-K3*10100)/(100*J3+101*K3)*10000</f>
        <v>9950.839550074952</v>
      </c>
      <c r="M3" s="6">
        <f>(B9-L3)/B9*100</f>
        <v>0.4916044992504794</v>
      </c>
      <c r="N3">
        <f>(J3*L6/(L6+B8)-E3/101)*101/5000</f>
        <v>0.0004430633838266077</v>
      </c>
      <c r="O3" s="1">
        <f>LINEST(H3:H5,N3:N5,TRUE,TRUE)</f>
        <v>0.9255349161048051</v>
      </c>
      <c r="P3">
        <f>N3*1000*O9+O10</f>
        <v>0.410815212479327</v>
      </c>
      <c r="Q3" s="11">
        <f>E3/B3*1000</f>
        <v>0.4137076146072728</v>
      </c>
      <c r="R3" s="11">
        <f>(Q3-P3)/Q3*100</f>
        <v>0.6991416222037635</v>
      </c>
    </row>
    <row r="4" spans="1:18" ht="12.75">
      <c r="A4" t="s">
        <v>4</v>
      </c>
      <c r="B4" s="6">
        <v>20000000</v>
      </c>
      <c r="E4">
        <v>68.2583034188</v>
      </c>
      <c r="H4" s="6">
        <v>0.00062</v>
      </c>
      <c r="I4" s="6">
        <v>0.000664954751131</v>
      </c>
      <c r="J4" s="7">
        <f>E4*(B15+B10)/B15</f>
        <v>71.93569327154547</v>
      </c>
      <c r="K4">
        <f>(J4-E4-I4*B10)/101</f>
        <v>0.0034912484860443334</v>
      </c>
      <c r="L4" s="7">
        <f>(100*J4-K4*10100)/(100*J4+101*K4)*10000</f>
        <v>9950.494005791172</v>
      </c>
      <c r="M4" s="6">
        <f>(B9-L4)/B9*100</f>
        <v>0.4950599420882827</v>
      </c>
      <c r="N4">
        <f>(J4*L6/(L6+B8)-E4/101)*101/5000</f>
        <v>0.0006645614574856855</v>
      </c>
      <c r="O4" s="9">
        <f>INTERCEPT(H3:H5,N3:N5)*1000</f>
        <v>0.001594611979658842</v>
      </c>
      <c r="P4">
        <f>N4*1000*O9+O10</f>
        <v>0.616893179878132</v>
      </c>
      <c r="Q4" s="11">
        <f>E4/B3*1000</f>
        <v>0.62053003108</v>
      </c>
      <c r="R4" s="11">
        <f>(Q4-P4)/Q4*100</f>
        <v>0.5860878635540532</v>
      </c>
    </row>
    <row r="5" spans="1:18" ht="12.75">
      <c r="A5" t="s">
        <v>5</v>
      </c>
      <c r="B5" s="6">
        <v>20000000</v>
      </c>
      <c r="E5">
        <v>91.0078443223</v>
      </c>
      <c r="H5" s="6">
        <v>0.00082</v>
      </c>
      <c r="I5" s="6">
        <v>0.000884345447581</v>
      </c>
      <c r="J5" s="7">
        <f>E5*(B15+B10)/B15</f>
        <v>95.91085694448142</v>
      </c>
      <c r="K5">
        <f>(J5-E5-I5*B10)/101</f>
        <v>0.00476520182451903</v>
      </c>
      <c r="L5" s="7">
        <f>(100*J5-K5*10100)/(100*J5+101*K5)*10000</f>
        <v>9949.320247761261</v>
      </c>
      <c r="M5" s="6">
        <f>(B9-L5)/B9*100</f>
        <v>0.5067975223873873</v>
      </c>
      <c r="N5">
        <f>(J5*L6/(L6+B8)-E5/101)*101/5000</f>
        <v>0.0008860505262543653</v>
      </c>
      <c r="P5">
        <f>N5*1000*O9+O10</f>
        <v>0.8229627692830374</v>
      </c>
      <c r="Q5" s="11">
        <f>E5/B3*1000</f>
        <v>0.8273440392936364</v>
      </c>
      <c r="R5" s="11">
        <f>(Q5-P5)/Q5*100</f>
        <v>0.5295584185678883</v>
      </c>
    </row>
    <row r="6" spans="1:17" ht="12.75">
      <c r="A6" t="s">
        <v>6</v>
      </c>
      <c r="B6" s="6">
        <v>1000000</v>
      </c>
      <c r="J6" s="7"/>
      <c r="L6">
        <f>(L3+L4+L5)/3</f>
        <v>9950.217934542461</v>
      </c>
      <c r="M6" s="6">
        <f>(B9-L6)/B9*100</f>
        <v>0.49782065457538927</v>
      </c>
      <c r="Q6" s="11"/>
    </row>
    <row r="7" spans="1:2" ht="12.75">
      <c r="A7" t="s">
        <v>7</v>
      </c>
      <c r="B7" s="6">
        <v>10000</v>
      </c>
    </row>
    <row r="8" spans="1:15" ht="12.75">
      <c r="A8" t="s">
        <v>8</v>
      </c>
      <c r="B8" s="6">
        <v>1000000</v>
      </c>
      <c r="D8" t="s">
        <v>37</v>
      </c>
      <c r="O8" s="2" t="s">
        <v>48</v>
      </c>
    </row>
    <row r="9" spans="1:18" ht="12.75">
      <c r="A9" t="s">
        <v>9</v>
      </c>
      <c r="B9" s="6">
        <v>10000</v>
      </c>
      <c r="E9">
        <v>29.843</v>
      </c>
      <c r="F9">
        <v>0.121630685</v>
      </c>
      <c r="G9">
        <f>F9/0.06166</f>
        <v>1.9726027408368472</v>
      </c>
      <c r="I9">
        <f>G9*0.01209/1000</f>
        <v>2.384876713671748E-05</v>
      </c>
      <c r="J9" s="7">
        <f>E9*(B16+B10)/B16</f>
        <v>30.106714734301118</v>
      </c>
      <c r="K9">
        <f>(J9-E9-I9*B10)/101</f>
        <v>0.0014304049368072328</v>
      </c>
      <c r="L9" s="7">
        <f>(100*J9-K9*10100)/(100*J9+101*K9)*10000</f>
        <v>9951.536191417295</v>
      </c>
      <c r="M9" s="6">
        <f>(B9-L9)/B9*100</f>
        <v>0.48463808582704593</v>
      </c>
      <c r="N9" s="10">
        <f>(J9*L14/(L14+B8)-E9/101)*101/5000</f>
        <v>2.3166920080371055E-05</v>
      </c>
      <c r="O9">
        <v>0.930382662</v>
      </c>
      <c r="P9">
        <f>N9*1000*O9+O10</f>
        <v>0.020150822774716873</v>
      </c>
      <c r="Q9" s="11">
        <f>E9/B13*1000</f>
        <v>0.0024869166666666664</v>
      </c>
      <c r="R9" s="11">
        <f>(Q9-P9)/Q9*100</f>
        <v>-710.2733414757314</v>
      </c>
    </row>
    <row r="10" spans="1:18" ht="12.75">
      <c r="A10" t="s">
        <v>10</v>
      </c>
      <c r="B10" s="6">
        <v>5000</v>
      </c>
      <c r="E10">
        <v>35.7628</v>
      </c>
      <c r="F10">
        <v>0.129575362</v>
      </c>
      <c r="G10">
        <f>F10/0.06166</f>
        <v>2.101449270191372</v>
      </c>
      <c r="I10">
        <f>G10*0.01209/1000</f>
        <v>2.540652167661369E-05</v>
      </c>
      <c r="J10" s="7">
        <f>E10*(B16+B10)/B16</f>
        <v>36.078826448408805</v>
      </c>
      <c r="K10">
        <f>(J10-E10-I10*B10)/101</f>
        <v>0.0018712261388686886</v>
      </c>
      <c r="L10" s="7">
        <f>(100*J10-K10*10100)/(100*J10+101*K10)*10000</f>
        <v>9947.095346894004</v>
      </c>
      <c r="M10" s="6">
        <f>(B9-L10)/B9*100</f>
        <v>0.5290465310599575</v>
      </c>
      <c r="N10" s="10">
        <f>(J10*L14/(L14+B8)-E10/101)*101/5000</f>
        <v>2.7762420984830715E-05</v>
      </c>
      <c r="O10">
        <v>-0.001403278</v>
      </c>
      <c r="P10">
        <f>N10*1000*O9+O10</f>
        <v>0.024426397139431462</v>
      </c>
      <c r="Q10" s="11">
        <f>E10/B13*1000</f>
        <v>0.0029802333333333333</v>
      </c>
      <c r="R10" s="11">
        <f>(Q10-P10)/Q10*100</f>
        <v>-719.6135807967429</v>
      </c>
    </row>
    <row r="11" spans="1:18" ht="12.75">
      <c r="A11" t="s">
        <v>11</v>
      </c>
      <c r="B11" s="6">
        <v>933000</v>
      </c>
      <c r="E11">
        <v>47.6632</v>
      </c>
      <c r="F11">
        <v>0.197649863</v>
      </c>
      <c r="G11">
        <f>F11/0.06166</f>
        <v>3.205479451832631</v>
      </c>
      <c r="I11">
        <f>G11*0.01209/1000</f>
        <v>3.875424657265651E-05</v>
      </c>
      <c r="J11" s="7">
        <f>E11*(B16+B10)/B16</f>
        <v>48.08438715021751</v>
      </c>
      <c r="K11">
        <f>(J11-E11-I11*B10)/101</f>
        <v>0.002251642746081418</v>
      </c>
      <c r="L11" s="7">
        <f>(100*J11-K11*10100)/(100*J11+101*K11)*10000</f>
        <v>9952.23413930738</v>
      </c>
      <c r="M11" s="6">
        <f>(B9-L11)/B9*100</f>
        <v>0.47765860692619755</v>
      </c>
      <c r="N11" s="10">
        <f>(J11*L14/(L14+B8)-E11/101)*101/5000</f>
        <v>3.7000621424614645E-05</v>
      </c>
      <c r="P11">
        <f>N11*1000*O9+O10</f>
        <v>0.03302145865668721</v>
      </c>
      <c r="Q11" s="11">
        <f>E11/B13*1000</f>
        <v>0.0039719333333333336</v>
      </c>
      <c r="R11" s="11">
        <f>(Q11-P11)/Q11*100</f>
        <v>-731.3699119661426</v>
      </c>
    </row>
    <row r="12" spans="1:18" ht="12.75">
      <c r="A12" t="s">
        <v>12</v>
      </c>
      <c r="B12" s="6">
        <v>1553000</v>
      </c>
      <c r="E12">
        <v>59.5636</v>
      </c>
      <c r="F12">
        <v>0.233970137</v>
      </c>
      <c r="G12">
        <f>F12/0.06166</f>
        <v>3.794520548167369</v>
      </c>
      <c r="I12">
        <f>G12*0.01209/1000</f>
        <v>4.5875753427343494E-05</v>
      </c>
      <c r="J12" s="7">
        <f>E12*(B16+B10)/B16</f>
        <v>60.08994785202621</v>
      </c>
      <c r="K12">
        <f>(J12-E12-I12*B10)/101</f>
        <v>0.002940287969202852</v>
      </c>
      <c r="L12" s="7">
        <f>(100*J12-K12*10100)/(100*J12+101*K12)*10000</f>
        <v>9950.087499824853</v>
      </c>
      <c r="M12" s="6">
        <f>(B9-L12)/B9*100</f>
        <v>0.4991250017514721</v>
      </c>
      <c r="N12" s="10">
        <f>(J12*L14/(L14+B8)-E12/101)*101/5000</f>
        <v>4.623882186439745E-05</v>
      </c>
      <c r="P12">
        <f>N12*1000*O9+O10</f>
        <v>0.0416165201739419</v>
      </c>
      <c r="Q12" s="11">
        <f>E12/B13*1000</f>
        <v>0.0049636333333333334</v>
      </c>
      <c r="R12" s="11">
        <f>(Q12-P12)/Q12*100</f>
        <v>-738.4285739735387</v>
      </c>
    </row>
    <row r="13" spans="1:18" ht="12.75">
      <c r="A13" t="s">
        <v>50</v>
      </c>
      <c r="B13" s="8">
        <v>12000000</v>
      </c>
      <c r="E13">
        <v>71.4023</v>
      </c>
      <c r="F13">
        <v>0.287183562</v>
      </c>
      <c r="G13">
        <f>F13/0.06166</f>
        <v>4.6575342523516055</v>
      </c>
      <c r="I13">
        <f>G13*0.01209/1000</f>
        <v>5.630958911093091E-05</v>
      </c>
      <c r="J13" s="7">
        <f>E13*(B16+B10)/B16</f>
        <v>72.03326332717852</v>
      </c>
      <c r="K13">
        <f>(J13-E13-I13*B10)/101</f>
        <v>0.00345955823389966</v>
      </c>
      <c r="L13" s="7">
        <f>(100*J13-K13*10100)/(100*J13+101*K13)*10000</f>
        <v>9951.009797250632</v>
      </c>
      <c r="M13" s="6">
        <f>(B9-L13)/B9*100</f>
        <v>0.48990202749368106</v>
      </c>
      <c r="N13" s="10">
        <f>(J13*L14/(L14+B8)-E13/101)*101/5000</f>
        <v>5.542912500937187E-05</v>
      </c>
      <c r="P13">
        <f>N13*1000*O9+O10</f>
        <v>0.05016701887855018</v>
      </c>
      <c r="Q13" s="11">
        <f>E13/B13*1000</f>
        <v>0.005950191666666666</v>
      </c>
      <c r="R13" s="11">
        <f>(Q13-P13)/Q13*100</f>
        <v>-743.1160152300447</v>
      </c>
    </row>
    <row r="14" spans="10:14" ht="12.75">
      <c r="J14" s="7"/>
      <c r="L14">
        <f>(L9+L10+L11+L12+L13)/5</f>
        <v>9950.392594938832</v>
      </c>
      <c r="M14" s="6">
        <f>(B9-L14)/B9*100</f>
        <v>0.49607405061167814</v>
      </c>
      <c r="N14" s="10"/>
    </row>
    <row r="15" spans="1:2" ht="12.75">
      <c r="A15" t="s">
        <v>14</v>
      </c>
      <c r="B15" s="6">
        <f>1/(1/(B6+B7)+1/B3+1/B5+1/B12)</f>
        <v>92808.0869204547</v>
      </c>
    </row>
    <row r="16" spans="1:4" ht="12.75">
      <c r="A16" t="s">
        <v>31</v>
      </c>
      <c r="B16" s="6">
        <f>1/(1/(B6+B7)+1/B13+1/B5+1/B12)</f>
        <v>565819.7309128024</v>
      </c>
      <c r="D16" t="s">
        <v>35</v>
      </c>
    </row>
    <row r="17" spans="1:2" ht="12.75">
      <c r="A17" t="s">
        <v>20</v>
      </c>
      <c r="B17" s="6">
        <v>0.0001</v>
      </c>
    </row>
    <row r="18" spans="1:4" ht="12.75">
      <c r="A18" t="s">
        <v>16</v>
      </c>
      <c r="B18" s="6">
        <v>70</v>
      </c>
      <c r="D18" t="s">
        <v>37</v>
      </c>
    </row>
    <row r="19" spans="1:18" ht="12.75">
      <c r="A19" t="s">
        <v>13</v>
      </c>
      <c r="B19" s="6">
        <f>B18*B15/(B15+B10)</f>
        <v>66.42156378864001</v>
      </c>
      <c r="E19">
        <v>29.8434</v>
      </c>
      <c r="F19">
        <v>0.057945542</v>
      </c>
      <c r="G19">
        <f>F19/0.06166</f>
        <v>0.9397590334090172</v>
      </c>
      <c r="I19">
        <f>G19*0.01209/1000</f>
        <v>1.1361686713915018E-05</v>
      </c>
      <c r="J19" s="7">
        <f>E19*(B16+B10)/B16</f>
        <v>30.107118268995812</v>
      </c>
      <c r="K19">
        <f>(J19-E19-I19*B10)/101</f>
        <v>0.00204861223194295</v>
      </c>
      <c r="L19" s="7">
        <f>(100*J19-K19*10100)/(100*J19+101*K19)*10000</f>
        <v>9930.5929677773</v>
      </c>
      <c r="M19" s="6">
        <f>(B9-L19)/B9*100</f>
        <v>0.6940703222269986</v>
      </c>
      <c r="N19" s="10">
        <f>(J19*L24/(L24+B8)-E19/101)*101/5000</f>
        <v>1.0130795172126916E-05</v>
      </c>
      <c r="P19">
        <f>N19*1000*O27+O28</f>
        <v>0.011428159268424594</v>
      </c>
      <c r="Q19" s="11">
        <f>E19/B13*1000</f>
        <v>0.00248695</v>
      </c>
      <c r="R19" s="11">
        <f>(Q19-P19)/Q19*100</f>
        <v>-359.5250917157399</v>
      </c>
    </row>
    <row r="20" spans="1:18" ht="12.75">
      <c r="A20" t="s">
        <v>15</v>
      </c>
      <c r="B20" s="6">
        <f>B18*(B15+B10)/B15</f>
        <v>73.77122308641037</v>
      </c>
      <c r="E20">
        <v>35.8245</v>
      </c>
      <c r="F20">
        <v>0.0542608</v>
      </c>
      <c r="G20">
        <f>F20/0.06166</f>
        <v>0.88</v>
      </c>
      <c r="I20">
        <f>G20*0.01209/1000</f>
        <v>1.06392E-05</v>
      </c>
      <c r="J20" s="7">
        <f>E20*(B16+B10)/B16</f>
        <v>36.141071675065184</v>
      </c>
      <c r="K20">
        <f>(J20-E20-I20*B10)/101</f>
        <v>0.0026076799511404345</v>
      </c>
      <c r="L20" s="7">
        <f>(100*J20-K20*10100)/(100*J20+101*K20)*10000</f>
        <v>9926.4022798333</v>
      </c>
      <c r="M20" s="6">
        <f>(B9-L20)/B9*100</f>
        <v>0.7359772016669922</v>
      </c>
      <c r="N20" s="10">
        <f>(J20*L24/(L24+B8)-E20/101)*101/5000</f>
        <v>1.216117036409421E-05</v>
      </c>
      <c r="P20">
        <f>N20*1000*O27+O28</f>
        <v>0.013398961177347455</v>
      </c>
      <c r="Q20" s="11">
        <f>E20/B13*1000</f>
        <v>0.002985375</v>
      </c>
      <c r="R20" s="11">
        <f>(Q20-P20)/Q20*100</f>
        <v>-348.8200369249241</v>
      </c>
    </row>
    <row r="21" spans="5:18" ht="12.75">
      <c r="E21">
        <v>47.7248</v>
      </c>
      <c r="F21">
        <v>0.081979773</v>
      </c>
      <c r="G21">
        <f>F21/0.06166</f>
        <v>1.3295454589685372</v>
      </c>
      <c r="I21">
        <f>G21*0.01209/1000</f>
        <v>1.6074204598929615E-05</v>
      </c>
      <c r="J21" s="7">
        <f>E21*(B16+B10)/B16</f>
        <v>48.146531493200214</v>
      </c>
      <c r="K21">
        <f>(J21-E21-I21*B10)/101</f>
        <v>0.003379806635698658</v>
      </c>
      <c r="L21" s="7">
        <f>(100*J21-K21*10100)/(100*J21+101*K21)*10000</f>
        <v>9928.395749111116</v>
      </c>
      <c r="M21" s="6">
        <f>(B9-L21)/B9*100</f>
        <v>0.7160425088888405</v>
      </c>
      <c r="N21" s="10">
        <f>(J21*L24/(L24+B8)-E21/101)*101/5000</f>
        <v>1.6200907853350832E-05</v>
      </c>
      <c r="P21">
        <f>N21*1000*O27+O28</f>
        <v>0.017320168640318885</v>
      </c>
      <c r="Q21" s="11">
        <f>E21/B13*1000</f>
        <v>0.003977066666666667</v>
      </c>
      <c r="R21" s="11">
        <f>(Q21-P21)/Q21*100</f>
        <v>-335.5010889177673</v>
      </c>
    </row>
    <row r="22" spans="1:18" ht="12.75">
      <c r="A22" t="s">
        <v>17</v>
      </c>
      <c r="B22" s="6">
        <f>B18*B7/(B7+B6)</f>
        <v>0.693069306930693</v>
      </c>
      <c r="E22">
        <v>59.5636</v>
      </c>
      <c r="F22">
        <v>0.110988</v>
      </c>
      <c r="G22">
        <f>F22/0.06166</f>
        <v>1.8</v>
      </c>
      <c r="I22">
        <f>G22*0.01209/1000</f>
        <v>2.1762E-05</v>
      </c>
      <c r="J22" s="7">
        <f>E22*(B16+B10)/B16</f>
        <v>60.08994785202621</v>
      </c>
      <c r="K22">
        <f>(J22-E22-I22*B10)/101</f>
        <v>0.004134038138873322</v>
      </c>
      <c r="L22" s="7">
        <f>(100*J22-K22*10100)/(100*J22+101*K22)*10000</f>
        <v>9929.824547247557</v>
      </c>
      <c r="M22" s="6">
        <f>(B9-L22)/B9*100</f>
        <v>0.7017545275244265</v>
      </c>
      <c r="N22" s="10">
        <f>(J22*L24/(L24+B8)-E22/101)*101/5000</f>
        <v>2.0219768233996028E-05</v>
      </c>
      <c r="P22">
        <f>N22*1000*O27+O28</f>
        <v>0.021221111550380596</v>
      </c>
      <c r="Q22" s="11">
        <f>E22/B13*1000</f>
        <v>0.0049636333333333334</v>
      </c>
      <c r="R22" s="11">
        <f>(Q22-P22)/Q22*100</f>
        <v>-327.5318123897265</v>
      </c>
    </row>
    <row r="23" spans="1:18" ht="12.75">
      <c r="A23" t="s">
        <v>18</v>
      </c>
      <c r="B23" s="6">
        <f>B18*B9/(B9+B8)</f>
        <v>0.693069306930693</v>
      </c>
      <c r="E23">
        <v>71.4639</v>
      </c>
      <c r="F23">
        <v>0.115707654</v>
      </c>
      <c r="G23">
        <f>F23/0.06166</f>
        <v>1.876543204670775</v>
      </c>
      <c r="I23">
        <f>G23*0.01209/1000</f>
        <v>2.268740734446967E-05</v>
      </c>
      <c r="J23" s="7">
        <f>E23*(B16+B10)/B16</f>
        <v>72.09540767016124</v>
      </c>
      <c r="K23">
        <f>(J23-E23-I23*B10)/101</f>
        <v>0.005129412212266265</v>
      </c>
      <c r="L23" s="7">
        <f>(100*J23-K23*10100)/(100*J23+101*K23)*10000</f>
        <v>9927.427590876103</v>
      </c>
      <c r="M23" s="6">
        <f>(B9-L23)/B9*100</f>
        <v>0.7257240912389715</v>
      </c>
      <c r="N23" s="10">
        <f>(J23*L24/(L24+B8)-E23/101)*101/5000</f>
        <v>2.425950572325377E-05</v>
      </c>
      <c r="P23">
        <f>N23*1000*O27+O28</f>
        <v>0.025142319013353114</v>
      </c>
      <c r="Q23" s="11">
        <f>E23/B13*1000</f>
        <v>0.005955325</v>
      </c>
      <c r="R23" s="11">
        <f>(Q23-P23)/Q23*100</f>
        <v>-322.18214813386527</v>
      </c>
    </row>
    <row r="24" spans="1:14" ht="12.75">
      <c r="A24" t="s">
        <v>19</v>
      </c>
      <c r="B24">
        <f>(B18-B19-B17*B10)/101</f>
        <v>0.030479566449108767</v>
      </c>
      <c r="J24" s="7"/>
      <c r="L24">
        <f>(L19+L20+L21+L22+L23)/5</f>
        <v>9928.528626969075</v>
      </c>
      <c r="M24" s="6">
        <f>(B9-L24)/B9*100</f>
        <v>0.7147137303092496</v>
      </c>
      <c r="N24" s="10"/>
    </row>
    <row r="25" spans="1:2" ht="12.75">
      <c r="A25" t="s">
        <v>21</v>
      </c>
      <c r="B25" s="6">
        <f>(100*B18-B24*10100)/(100*B18+101*B24)*10000</f>
        <v>9556.020883987749</v>
      </c>
    </row>
    <row r="26" spans="1:15" ht="12.75">
      <c r="A26" t="s">
        <v>22</v>
      </c>
      <c r="B26" s="6">
        <f>(B9-B25)/B9*100</f>
        <v>4.439791160122513</v>
      </c>
      <c r="D26" t="s">
        <v>46</v>
      </c>
      <c r="F26" s="2"/>
      <c r="G26" s="2"/>
      <c r="O26" s="2" t="s">
        <v>49</v>
      </c>
    </row>
    <row r="27" spans="4:18" ht="12.75">
      <c r="D27" s="14" t="s">
        <v>53</v>
      </c>
      <c r="E27">
        <v>45.5078376068</v>
      </c>
      <c r="H27" s="6">
        <v>0.00041</v>
      </c>
      <c r="J27" s="12">
        <f>E27*(D28+B10)/D28</f>
        <v>47.959570804249836</v>
      </c>
      <c r="K27" s="13">
        <f>J27/101-J27*L24/(L24+B8)</f>
        <v>0.003360434224046749</v>
      </c>
      <c r="L27" s="7">
        <v>9928.529</v>
      </c>
      <c r="M27" s="6"/>
      <c r="N27">
        <f>(J27*L27/(L27+B8)-E27/101)*101/5000</f>
        <v>0.0004224662224797736</v>
      </c>
      <c r="O27" s="1">
        <f>LINEST(H27:H29,N27:N29,TRUE,TRUE)</f>
        <v>0.9706589780646847</v>
      </c>
      <c r="P27">
        <f>N27*1000*O27+O28</f>
        <v>0.41166524375873004</v>
      </c>
      <c r="Q27" s="11">
        <f>E27/B3*1000</f>
        <v>0.4137076146072728</v>
      </c>
      <c r="R27" s="11">
        <f>(Q27-P27)/Q27*100</f>
        <v>0.49367494733727524</v>
      </c>
    </row>
    <row r="28" spans="4:18" ht="12.75">
      <c r="D28" s="6">
        <f>1/(1/(B6+L24)+1/B3+1/B5+1/B12)</f>
        <v>92807.48340426045</v>
      </c>
      <c r="E28">
        <v>68.2583034188</v>
      </c>
      <c r="H28" s="6">
        <v>0.00062</v>
      </c>
      <c r="J28" s="12">
        <f>E28*(D28+B10)/D28</f>
        <v>71.93571718518096</v>
      </c>
      <c r="K28" s="13">
        <f>J28/101-J28*L24/(L24+B8)</f>
        <v>0.005040396356904009</v>
      </c>
      <c r="L28" s="7">
        <v>9928.529</v>
      </c>
      <c r="M28" s="6"/>
      <c r="N28">
        <f>(J28*L28/(L28+B8)-E28/101)*101/5000</f>
        <v>0.0006336672783131716</v>
      </c>
      <c r="O28" s="9">
        <f>INTERCEPT(H27:H29,N27:N29)*1000</f>
        <v>0.0015946119796652388</v>
      </c>
      <c r="P28">
        <f>N28*1000*O27+O28</f>
        <v>0.6166694447801585</v>
      </c>
      <c r="Q28" s="11">
        <f>E28/B3*1000</f>
        <v>0.62053003108</v>
      </c>
      <c r="R28" s="11">
        <f>(Q28-P28)/Q28*100</f>
        <v>0.6221433462490753</v>
      </c>
    </row>
    <row r="29" spans="5:18" ht="12.75">
      <c r="E29">
        <v>91.0078443223</v>
      </c>
      <c r="H29" s="6">
        <v>0.00082</v>
      </c>
      <c r="J29" s="12">
        <f>E29*(D28+B10)/D28</f>
        <v>95.91088882819824</v>
      </c>
      <c r="K29" s="13">
        <f>J29/101-J29*L24/(L24+B8)</f>
        <v>0.006720290191764011</v>
      </c>
      <c r="L29" s="7">
        <v>9928.529</v>
      </c>
      <c r="M29" s="6"/>
      <c r="N29">
        <f>(J29*L29/(L29+B8)-E29/101)*101/5000</f>
        <v>0.0008448597478761457</v>
      </c>
      <c r="P29">
        <f>N29*1000*O27+O28</f>
        <v>0.821665311461112</v>
      </c>
      <c r="Q29" s="11">
        <f>E29/B3*1000</f>
        <v>0.8273440392936364</v>
      </c>
      <c r="R29" s="11">
        <f>(Q29-P29)/Q29*100</f>
        <v>0.6863804611891293</v>
      </c>
    </row>
    <row r="30" spans="10:17" ht="12.75">
      <c r="J30" s="7"/>
      <c r="L30" s="7">
        <v>9928.529</v>
      </c>
      <c r="M30" s="6"/>
      <c r="Q30" s="11"/>
    </row>
    <row r="51" spans="5:22" ht="12.75">
      <c r="E51" s="1"/>
      <c r="F51" s="1"/>
      <c r="G51" s="1"/>
      <c r="K51" s="1"/>
      <c r="N51" s="3"/>
      <c r="O51" s="3"/>
      <c r="P51" s="3"/>
      <c r="Q51" s="3"/>
      <c r="S51" s="4"/>
      <c r="T51" s="4"/>
      <c r="U51" s="5"/>
      <c r="V51" s="4"/>
    </row>
    <row r="52" spans="5:11" ht="12.75">
      <c r="E52" s="1"/>
      <c r="F52" s="1"/>
      <c r="G52" s="1"/>
      <c r="K52" s="1"/>
    </row>
    <row r="57" spans="5:22" ht="12.75">
      <c r="E57" s="1"/>
      <c r="F57" s="1"/>
      <c r="G57" s="1"/>
      <c r="K57" s="1"/>
      <c r="N57" s="4"/>
      <c r="O57" s="4"/>
      <c r="P57" s="3"/>
      <c r="Q57" s="3"/>
      <c r="S57" s="4"/>
      <c r="T57" s="4"/>
      <c r="U57" s="5"/>
      <c r="V57" s="4"/>
    </row>
    <row r="58" spans="5:11" ht="12.75">
      <c r="E58" s="1"/>
      <c r="F58" s="1"/>
      <c r="G58" s="1"/>
      <c r="K58" s="1"/>
    </row>
    <row r="63" spans="5:11" ht="12.75">
      <c r="E63" s="1"/>
      <c r="F63" s="1"/>
      <c r="G63" s="1"/>
      <c r="K63" s="1"/>
    </row>
    <row r="64" spans="5:11" ht="12.75">
      <c r="E64" s="1"/>
      <c r="F64" s="1"/>
      <c r="G64" s="1"/>
      <c r="K64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4"/>
  <sheetViews>
    <sheetView workbookViewId="0" topLeftCell="C1">
      <selection activeCell="E33" sqref="E33"/>
    </sheetView>
  </sheetViews>
  <sheetFormatPr defaultColWidth="9.140625" defaultRowHeight="12.75"/>
  <cols>
    <col min="1" max="1" width="32.140625" style="0" bestFit="1" customWidth="1"/>
    <col min="3" max="3" width="16.57421875" style="0" customWidth="1"/>
    <col min="4" max="4" width="23.57421875" style="0" bestFit="1" customWidth="1"/>
    <col min="5" max="5" width="12.57421875" style="0" bestFit="1" customWidth="1"/>
    <col min="6" max="7" width="12.57421875" style="0" customWidth="1"/>
    <col min="9" max="9" width="13.421875" style="0" bestFit="1" customWidth="1"/>
    <col min="13" max="13" width="9.57421875" style="0" bestFit="1" customWidth="1"/>
    <col min="14" max="14" width="14.57421875" style="0" customWidth="1"/>
    <col min="15" max="15" width="16.421875" style="0" customWidth="1"/>
    <col min="16" max="16" width="12.00390625" style="0" bestFit="1" customWidth="1"/>
    <col min="17" max="17" width="12.57421875" style="0" bestFit="1" customWidth="1"/>
    <col min="18" max="18" width="16.28125" style="0" customWidth="1"/>
  </cols>
  <sheetData>
    <row r="1" spans="1:18" ht="12.75">
      <c r="A1" t="s">
        <v>39</v>
      </c>
      <c r="B1" t="s">
        <v>2</v>
      </c>
      <c r="D1" t="s">
        <v>51</v>
      </c>
      <c r="E1" s="2" t="s">
        <v>24</v>
      </c>
      <c r="F1" s="2" t="s">
        <v>0</v>
      </c>
      <c r="G1" s="2" t="s">
        <v>1</v>
      </c>
      <c r="H1" t="s">
        <v>25</v>
      </c>
      <c r="I1" t="s">
        <v>26</v>
      </c>
      <c r="J1" t="s">
        <v>27</v>
      </c>
      <c r="K1" t="s">
        <v>38</v>
      </c>
      <c r="L1" t="s">
        <v>28</v>
      </c>
      <c r="M1" t="s">
        <v>29</v>
      </c>
      <c r="N1" t="s">
        <v>30</v>
      </c>
      <c r="P1" t="s">
        <v>32</v>
      </c>
      <c r="Q1" t="s">
        <v>33</v>
      </c>
      <c r="R1" t="s">
        <v>34</v>
      </c>
    </row>
    <row r="2" spans="4:17" ht="12.75">
      <c r="D2" t="s">
        <v>36</v>
      </c>
      <c r="E2" s="2" t="s">
        <v>40</v>
      </c>
      <c r="F2" s="2" t="s">
        <v>40</v>
      </c>
      <c r="G2" s="2" t="s">
        <v>41</v>
      </c>
      <c r="H2" s="2" t="s">
        <v>42</v>
      </c>
      <c r="I2" s="2" t="s">
        <v>42</v>
      </c>
      <c r="J2" s="2" t="s">
        <v>40</v>
      </c>
      <c r="K2" s="2" t="s">
        <v>40</v>
      </c>
      <c r="L2" s="2" t="s">
        <v>43</v>
      </c>
      <c r="M2" s="2" t="s">
        <v>44</v>
      </c>
      <c r="N2" s="2" t="s">
        <v>42</v>
      </c>
      <c r="O2" s="2" t="s">
        <v>47</v>
      </c>
      <c r="P2" s="2" t="s">
        <v>45</v>
      </c>
      <c r="Q2" s="2" t="s">
        <v>45</v>
      </c>
    </row>
    <row r="3" spans="1:18" ht="12.75">
      <c r="A3" t="s">
        <v>3</v>
      </c>
      <c r="B3" s="6">
        <v>110000</v>
      </c>
      <c r="E3">
        <v>45.3265555556</v>
      </c>
      <c r="H3" s="6">
        <v>0.00041</v>
      </c>
      <c r="I3" s="6">
        <v>0.000386309463957</v>
      </c>
      <c r="J3" s="7">
        <f>E3*(B15+B10)/B15</f>
        <v>47.7685063090106</v>
      </c>
      <c r="K3">
        <f>(J3-E3-I3*B10)/101</f>
        <v>0.00505349934282767</v>
      </c>
      <c r="L3" s="7">
        <f>(100*J3-K3*10100)/(100*J3+101*K3)*10000</f>
        <v>9892.09367593177</v>
      </c>
      <c r="M3" s="6">
        <f>(B9-L3)/B9*100</f>
        <v>1.0790632406822989</v>
      </c>
      <c r="N3">
        <f>(J3*L6/(L6+B8)-E3/101)*101/5000</f>
        <v>0.00038578179547392086</v>
      </c>
      <c r="O3" s="1">
        <f>LINEST(H3:H5,N3:N5,TRUE,TRUE)</f>
        <v>1.0630687600962023</v>
      </c>
      <c r="P3">
        <f>N3*1000*O9+O10</f>
        <v>0.41249241877919585</v>
      </c>
      <c r="Q3" s="11">
        <f>E3/B3*1000</f>
        <v>0.41205959596</v>
      </c>
      <c r="R3" s="11">
        <f>(Q3-P3)/Q3*100</f>
        <v>-0.10503888841308218</v>
      </c>
    </row>
    <row r="4" spans="1:18" ht="12.75">
      <c r="A4" t="s">
        <v>4</v>
      </c>
      <c r="B4" s="6">
        <v>20000000</v>
      </c>
      <c r="E4">
        <v>68.0066666667</v>
      </c>
      <c r="H4" s="6">
        <v>0.00062</v>
      </c>
      <c r="I4" s="6">
        <v>0.000576284445402</v>
      </c>
      <c r="J4" s="7">
        <f>E4*(B15+B10)/B15</f>
        <v>71.67049968617535</v>
      </c>
      <c r="K4">
        <f>(J4-E4-I4*B10)/101</f>
        <v>0.007746641509557897</v>
      </c>
      <c r="L4" s="7">
        <f>(100*J4-K4*10100)/(100*J4+101*K4)*10000</f>
        <v>9889.752597638864</v>
      </c>
      <c r="M4" s="6">
        <f>(B9-L4)/B9*100</f>
        <v>1.1024740236113575</v>
      </c>
      <c r="N4">
        <f>(J4*L6/(L6+B8)-E4/101)*101/5000</f>
        <v>0.0005788159644889365</v>
      </c>
      <c r="O4" s="9">
        <f>INTERCEPT(H3:H5,N3:N5)*1000</f>
        <v>0.0014834847116468363</v>
      </c>
      <c r="P4">
        <f>N4*1000*O9+O10</f>
        <v>0.6166928965988894</v>
      </c>
      <c r="Q4" s="11">
        <f>E4/B3*1000</f>
        <v>0.6182424242427272</v>
      </c>
      <c r="R4" s="11">
        <f>(Q4-P4)/Q4*100</f>
        <v>0.25063431157055455</v>
      </c>
    </row>
    <row r="5" spans="1:18" ht="12.75">
      <c r="A5" t="s">
        <v>5</v>
      </c>
      <c r="B5" s="6">
        <v>20000000</v>
      </c>
      <c r="E5">
        <v>90.641025641</v>
      </c>
      <c r="H5" s="6">
        <v>0.00082</v>
      </c>
      <c r="I5" s="6">
        <v>0.000773779597309</v>
      </c>
      <c r="J5" s="7">
        <f>E5*(B15+B10)/B15</f>
        <v>95.52427604776078</v>
      </c>
      <c r="K5">
        <f>(J5-E5-I5*B10)/101</f>
        <v>0.010043093269463165</v>
      </c>
      <c r="L5" s="7">
        <f>(100*J5-K5*10100)/(100*J5+101*K5)*10000</f>
        <v>9892.76158802156</v>
      </c>
      <c r="M5" s="6">
        <f>(B9-L5)/B9*100</f>
        <v>1.0723841197844013</v>
      </c>
      <c r="N5">
        <f>(J5*L6/(L6+B8)-E5/101)*101/5000</f>
        <v>0.0007714607295162673</v>
      </c>
      <c r="P5">
        <f>N5*1000*O9+O10</f>
        <v>0.8204814448583609</v>
      </c>
      <c r="Q5" s="11">
        <f>E5/B3*1000</f>
        <v>0.8240093240090909</v>
      </c>
      <c r="R5" s="11">
        <f>(Q5-P5)/Q5*100</f>
        <v>0.428135829042029</v>
      </c>
    </row>
    <row r="6" spans="1:17" ht="12.75">
      <c r="A6" t="s">
        <v>6</v>
      </c>
      <c r="B6" s="6">
        <v>1000000</v>
      </c>
      <c r="J6" s="7"/>
      <c r="L6">
        <f>(L3+L4+L5)/3</f>
        <v>9891.535953864064</v>
      </c>
      <c r="M6" s="6">
        <f>(B9-L6)/B9*100</f>
        <v>1.0846404613593585</v>
      </c>
      <c r="Q6" s="11"/>
    </row>
    <row r="7" spans="1:2" ht="12.75">
      <c r="A7" t="s">
        <v>7</v>
      </c>
      <c r="B7" s="6">
        <v>10000</v>
      </c>
    </row>
    <row r="8" spans="1:15" ht="12.75">
      <c r="A8" t="s">
        <v>8</v>
      </c>
      <c r="B8" s="6">
        <v>1000000</v>
      </c>
      <c r="D8" t="s">
        <v>37</v>
      </c>
      <c r="O8" s="2" t="s">
        <v>48</v>
      </c>
    </row>
    <row r="9" spans="1:18" ht="12.75">
      <c r="A9" t="s">
        <v>9</v>
      </c>
      <c r="B9" s="6">
        <v>10000</v>
      </c>
      <c r="E9">
        <v>29.7201</v>
      </c>
      <c r="F9">
        <v>-0.060837867</v>
      </c>
      <c r="G9">
        <f>F9/0.06166</f>
        <v>-0.9866666720726565</v>
      </c>
      <c r="I9">
        <f>G9*0.01209/1000</f>
        <v>-1.1928800065358416E-05</v>
      </c>
      <c r="J9" s="7">
        <f>E9*(B16+B10)/B16</f>
        <v>29.98272869935672</v>
      </c>
      <c r="K9">
        <f>(J9-E9-I9*B10)/101</f>
        <v>0.003190818808747657</v>
      </c>
      <c r="L9" s="7">
        <f>(100*J9-K9*10100)/(100*J9+101*K9)*10000</f>
        <v>9891.450692341787</v>
      </c>
      <c r="M9" s="6">
        <f>(B9-L9)/B9*100</f>
        <v>1.0854930765821338</v>
      </c>
      <c r="N9" s="10">
        <f>(J9*L14/(L14+B8)-E9/101)*101/5000</f>
        <v>-1.2227771646904983E-05</v>
      </c>
      <c r="O9">
        <v>1.05784628111</v>
      </c>
      <c r="P9">
        <f>N9*1000*O9+O10</f>
        <v>-0.008540521645770738</v>
      </c>
      <c r="Q9" s="11">
        <f>E9/B13*1000</f>
        <v>0.002476675</v>
      </c>
      <c r="R9" s="11">
        <f>(Q9-P9)/Q9*100</f>
        <v>444.83820629556715</v>
      </c>
    </row>
    <row r="10" spans="1:18" ht="12.75">
      <c r="A10" t="s">
        <v>10</v>
      </c>
      <c r="B10" s="6">
        <v>5000</v>
      </c>
      <c r="E10">
        <v>35.6395</v>
      </c>
      <c r="F10">
        <v>-0.066171707</v>
      </c>
      <c r="G10">
        <f>F10/0.06166</f>
        <v>-1.073170726565034</v>
      </c>
      <c r="I10">
        <f>G10*0.01209/1000</f>
        <v>-1.2974634084171262E-05</v>
      </c>
      <c r="J10" s="7">
        <f>E10*(B16+B10)/B16</f>
        <v>35.95443687876972</v>
      </c>
      <c r="K10">
        <f>(J10-E10-I10*B10)/101</f>
        <v>0.003760495536540373</v>
      </c>
      <c r="L10" s="7">
        <f>(100*J10-K10*10100)/(100*J10+101*K10)*10000</f>
        <v>9893.31841512696</v>
      </c>
      <c r="M10" s="6">
        <f>(B9-L10)/B9*100</f>
        <v>1.0668158487304025</v>
      </c>
      <c r="N10" s="10">
        <f>(J10*L14/(L14+B8)-E10/101)*101/5000</f>
        <v>-1.4663196544085543E-05</v>
      </c>
      <c r="O10">
        <v>0.00439458111717</v>
      </c>
      <c r="P10">
        <f>N10*1000*O9+O10</f>
        <v>-0.011116826816175897</v>
      </c>
      <c r="Q10" s="11">
        <f>E10/B13*1000</f>
        <v>0.002969958333333333</v>
      </c>
      <c r="R10" s="11">
        <f>(Q10-P10)/Q10*100</f>
        <v>474.3091844557606</v>
      </c>
    </row>
    <row r="11" spans="1:18" ht="12.75">
      <c r="A11" t="s">
        <v>11</v>
      </c>
      <c r="B11" s="6">
        <v>933000</v>
      </c>
      <c r="E11">
        <v>47.4782</v>
      </c>
      <c r="F11">
        <v>-0.111462308</v>
      </c>
      <c r="G11">
        <f>F11/0.06166</f>
        <v>-1.807692312682452</v>
      </c>
      <c r="I11">
        <f>G11*0.01209/1000</f>
        <v>-2.1855000060330843E-05</v>
      </c>
      <c r="J11" s="7">
        <f>E11*(B16+B10)/B16</f>
        <v>47.89775235392204</v>
      </c>
      <c r="K11">
        <f>(J11-E11-I11*B10)/101</f>
        <v>0.0052359143982543595</v>
      </c>
      <c r="L11" s="7">
        <f>(100*J11-K11*10100)/(100*J11+101*K11)*10000</f>
        <v>9888.500683720751</v>
      </c>
      <c r="M11" s="6">
        <f>(B9-L11)/B9*100</f>
        <v>1.114993162792489</v>
      </c>
      <c r="N11" s="10">
        <f>(J11*L14/(L14+B8)-E11/101)*101/5000</f>
        <v>-1.9534005195343318E-05</v>
      </c>
      <c r="P11">
        <f>N11*1000*O9+O10</f>
        <v>-0.016269393633907347</v>
      </c>
      <c r="Q11" s="11">
        <f>E11/B13*1000</f>
        <v>0.0039565166666666665</v>
      </c>
      <c r="R11" s="11">
        <f>(Q11-P11)/Q11*100</f>
        <v>511.2049816692465</v>
      </c>
    </row>
    <row r="12" spans="1:18" ht="12.75">
      <c r="A12" t="s">
        <v>12</v>
      </c>
      <c r="B12" s="6">
        <v>1553000</v>
      </c>
      <c r="E12">
        <v>59.1936</v>
      </c>
      <c r="F12">
        <v>-0.122539494</v>
      </c>
      <c r="G12">
        <f>F12/0.06166</f>
        <v>-1.9873417774894584</v>
      </c>
      <c r="I12">
        <f>G12*0.01209/1000</f>
        <v>-2.402696208984755E-05</v>
      </c>
      <c r="J12" s="7">
        <f>E12*(B16+B10)/B16</f>
        <v>59.71667825943527</v>
      </c>
      <c r="K12">
        <f>(J12-E12-I12*B10)/101</f>
        <v>0.006368446236480236</v>
      </c>
      <c r="L12" s="7">
        <f>(100*J12-K12*10100)/(100*J12+101*K12)*10000</f>
        <v>9891.223816653282</v>
      </c>
      <c r="M12" s="6">
        <f>(B9-L12)/B9*100</f>
        <v>1.0877618334671753</v>
      </c>
      <c r="N12" s="10">
        <f>(J12*L14/(L14+B8)-E12/101)*101/5000</f>
        <v>-2.435408439938773E-05</v>
      </c>
      <c r="P12">
        <f>N12*1000*O9+O10</f>
        <v>-0.02136829649456138</v>
      </c>
      <c r="Q12" s="11">
        <f>E12/B13*1000</f>
        <v>0.0049328</v>
      </c>
      <c r="R12" s="11">
        <f>(Q12-P12)/Q12*100</f>
        <v>533.1879762926002</v>
      </c>
    </row>
    <row r="13" spans="1:18" ht="12.75">
      <c r="A13" t="s">
        <v>50</v>
      </c>
      <c r="B13" s="8">
        <v>12000000</v>
      </c>
      <c r="E13">
        <v>71.0323</v>
      </c>
      <c r="F13">
        <v>-0.15415</v>
      </c>
      <c r="G13">
        <f>F13/0.06166</f>
        <v>-2.5</v>
      </c>
      <c r="I13">
        <f>G13*0.01209/1000</f>
        <v>-3.0225000000000003E-05</v>
      </c>
      <c r="J13" s="7">
        <f>E13*(B16+B10)/B16</f>
        <v>71.6599937345876</v>
      </c>
      <c r="K13">
        <f>(J13-E13-I13*B10)/101</f>
        <v>0.007711076580075198</v>
      </c>
      <c r="L13" s="7">
        <f>(100*J13-K13*10100)/(100*J13+101*K13)*10000</f>
        <v>9890.242602625778</v>
      </c>
      <c r="M13" s="6">
        <f>(B9-L13)/B9*100</f>
        <v>1.097573973742219</v>
      </c>
      <c r="N13" s="10">
        <f>(J13*L14/(L14+B8)-E13/101)*101/5000</f>
        <v>-2.922489305064102E-05</v>
      </c>
      <c r="P13">
        <f>N13*1000*O9+O10</f>
        <v>-0.026520863312288086</v>
      </c>
      <c r="Q13" s="11">
        <f>E13/B13*1000</f>
        <v>0.005919358333333334</v>
      </c>
      <c r="R13" s="11">
        <f>(Q13-P13)/Q13*100</f>
        <v>548.0361184242338</v>
      </c>
    </row>
    <row r="14" spans="10:14" ht="12.75">
      <c r="J14" s="7"/>
      <c r="L14">
        <f>(L9+L10+L11+L12+L13)/5</f>
        <v>9890.947242093713</v>
      </c>
      <c r="M14" s="6">
        <f>(B9-L14)/B9*100</f>
        <v>1.090527579062873</v>
      </c>
      <c r="N14" s="10"/>
    </row>
    <row r="15" spans="1:2" ht="12.75">
      <c r="A15" t="s">
        <v>14</v>
      </c>
      <c r="B15" s="6">
        <f>1/(1/(B6+B7)+1/B3+1/B5+1/B12)</f>
        <v>92808.0869204547</v>
      </c>
    </row>
    <row r="16" spans="1:4" ht="12.75">
      <c r="A16" t="s">
        <v>31</v>
      </c>
      <c r="B16" s="6">
        <f>1/(1/(B6+B7)+1/B13+1/B5+1/B12)</f>
        <v>565819.7309128024</v>
      </c>
      <c r="D16" t="s">
        <v>52</v>
      </c>
    </row>
    <row r="17" spans="1:2" ht="12.75">
      <c r="A17" t="s">
        <v>20</v>
      </c>
      <c r="B17" s="6">
        <v>0.0001</v>
      </c>
    </row>
    <row r="18" spans="1:4" ht="12.75">
      <c r="A18" t="s">
        <v>16</v>
      </c>
      <c r="B18" s="6">
        <v>70</v>
      </c>
      <c r="D18" t="s">
        <v>37</v>
      </c>
    </row>
    <row r="19" spans="1:18" ht="12.75">
      <c r="A19" t="s">
        <v>13</v>
      </c>
      <c r="B19" s="6">
        <f>B18*B15/(B15+B10)</f>
        <v>66.42156378864001</v>
      </c>
      <c r="E19">
        <v>29.7818</v>
      </c>
      <c r="F19">
        <v>-0.198352048</v>
      </c>
      <c r="G19">
        <f>F19/0.06166</f>
        <v>-3.2168674667531625</v>
      </c>
      <c r="I19">
        <f>G19*0.01209/1000</f>
        <v>-3.889192767304574E-05</v>
      </c>
      <c r="J19" s="7">
        <f>E19*(B16+B10)/B16</f>
        <v>30.044973926013103</v>
      </c>
      <c r="K19">
        <f>(J19-E19-I19*B10)/101</f>
        <v>0.00453102538988447</v>
      </c>
      <c r="L19" s="7">
        <f>(100*J19-K19*10100)/(100*J19+101*K19)*10000</f>
        <v>9846.184087283365</v>
      </c>
      <c r="M19" s="6">
        <f>(B9-L19)/B9*100</f>
        <v>1.5381591271663455</v>
      </c>
      <c r="N19" s="10">
        <f>(J19*L24/(L24+B8)-E19/101)*101/5000</f>
        <v>-4.150172992902117E-05</v>
      </c>
      <c r="P19">
        <f>N19*1000*O27+O28</f>
        <v>-0.048764075075770644</v>
      </c>
      <c r="Q19" s="11">
        <f>E19/B13*1000</f>
        <v>0.0024818166666666667</v>
      </c>
      <c r="R19" s="11">
        <f>(Q19-P19)/Q19*100</f>
        <v>2064.8540414254603</v>
      </c>
    </row>
    <row r="20" spans="1:18" ht="12.75">
      <c r="A20" t="s">
        <v>15</v>
      </c>
      <c r="B20" s="6">
        <f>B18*(B15+B10)/B15</f>
        <v>73.77122308641037</v>
      </c>
      <c r="E20">
        <v>35.7011</v>
      </c>
      <c r="F20">
        <v>-0.263960225</v>
      </c>
      <c r="G20">
        <f>F20/0.06166</f>
        <v>-4.280898880960104</v>
      </c>
      <c r="I20">
        <f>G20*0.01209/1000</f>
        <v>-5.175606747080765E-05</v>
      </c>
      <c r="J20" s="7">
        <f>E20*(B16+B10)/B16</f>
        <v>36.016581221752425</v>
      </c>
      <c r="K20">
        <f>(J20-E20-I20*B10)/101</f>
        <v>0.005685758010955113</v>
      </c>
      <c r="L20" s="7">
        <f>(100*J20-K20*10100)/(100*J20+101*K20)*10000</f>
        <v>9838.98757411751</v>
      </c>
      <c r="M20" s="6">
        <f>(B9-L20)/B9*100</f>
        <v>1.610124258824908</v>
      </c>
      <c r="N20" s="10">
        <f>(J20*L24/(L24+B8)-E20/101)*101/5000</f>
        <v>-4.9750431819734595E-05</v>
      </c>
      <c r="P20">
        <f>N20*1000*O27+O28</f>
        <v>-0.05875105976607261</v>
      </c>
      <c r="Q20" s="11">
        <f>E20/B13*1000</f>
        <v>0.0029750916666666663</v>
      </c>
      <c r="R20" s="11">
        <f>(Q20-P20)/Q20*100</f>
        <v>2074.7646912640544</v>
      </c>
    </row>
    <row r="21" spans="5:18" ht="12.75">
      <c r="E21">
        <v>47.6015</v>
      </c>
      <c r="F21">
        <v>-0.337661905</v>
      </c>
      <c r="G21">
        <f>F21/0.06166</f>
        <v>-5.476190480051898</v>
      </c>
      <c r="I21">
        <f>G21*0.01209/1000</f>
        <v>-6.620714290382744E-05</v>
      </c>
      <c r="J21" s="7">
        <f>E21*(B16+B10)/B16</f>
        <v>48.02214192356113</v>
      </c>
      <c r="K21">
        <f>(J21-E21-I21*B10)/101</f>
        <v>0.007442352852279852</v>
      </c>
      <c r="L21" s="7">
        <f>(100*J21-K21*10100)/(100*J21+101*K21)*10000</f>
        <v>9841.932165455513</v>
      </c>
      <c r="M21" s="6">
        <f>(B9-L21)/B9*100</f>
        <v>1.5806783454448667</v>
      </c>
      <c r="N21" s="10">
        <f>(J21*L24/(L24+B8)-E21/101)*101/5000</f>
        <v>-6.633395554386507E-05</v>
      </c>
      <c r="P21">
        <f>N21*1000*O27+O28</f>
        <v>-0.07882929749831608</v>
      </c>
      <c r="Q21" s="11">
        <f>E21/B13*1000</f>
        <v>0.003966791666666666</v>
      </c>
      <c r="R21" s="11">
        <f>(Q21-P21)/Q21*100</f>
        <v>2087.2305914305075</v>
      </c>
    </row>
    <row r="22" spans="1:18" ht="12.75">
      <c r="A22" t="s">
        <v>17</v>
      </c>
      <c r="B22" s="6">
        <f>B18*B7/(B7+B6)</f>
        <v>0.693069306930693</v>
      </c>
      <c r="E22">
        <v>59.5019</v>
      </c>
      <c r="F22">
        <v>-0.43162</v>
      </c>
      <c r="G22">
        <f>F22/0.06166</f>
        <v>-7</v>
      </c>
      <c r="I22">
        <f>G22*0.01209/1000</f>
        <v>-8.463E-05</v>
      </c>
      <c r="J22" s="7">
        <f>E22*(B16+B10)/B16</f>
        <v>60.027702625369834</v>
      </c>
      <c r="K22">
        <f>(J22-E22-I22*B10)/101</f>
        <v>0.009395570548216185</v>
      </c>
      <c r="L22" s="7">
        <f>(100*J22-K22*10100)/(100*J22+101*K22)*10000</f>
        <v>9840.358598183106</v>
      </c>
      <c r="M22" s="6">
        <f>(B9-L22)/B9*100</f>
        <v>1.5964140181689437</v>
      </c>
      <c r="N22" s="10">
        <f>(J22*L24/(L24+B8)-E22/101)*101/5000</f>
        <v>-8.291747926799554E-05</v>
      </c>
      <c r="P22">
        <f>N22*1000*O27+O28</f>
        <v>-0.09890753523055956</v>
      </c>
      <c r="Q22" s="11">
        <f>E22/B13*1000</f>
        <v>0.004958491666666667</v>
      </c>
      <c r="R22" s="11">
        <f>(Q22-P22)/Q22*100</f>
        <v>2094.7101231502097</v>
      </c>
    </row>
    <row r="23" spans="1:18" ht="12.75">
      <c r="A23" t="s">
        <v>18</v>
      </c>
      <c r="B23" s="6">
        <f>B18*B9/(B9+B8)</f>
        <v>0.693069306930693</v>
      </c>
      <c r="E23">
        <v>71.4023</v>
      </c>
      <c r="F23">
        <v>-0.509406462</v>
      </c>
      <c r="G23">
        <f>F23/0.06166</f>
        <v>-8.261538469023677</v>
      </c>
      <c r="I23">
        <f>G23*0.01209/1000</f>
        <v>-9.988200009049624E-05</v>
      </c>
      <c r="J23" s="7">
        <f>E23*(B16+B10)/B16</f>
        <v>72.03326332717852</v>
      </c>
      <c r="K23">
        <f>(J23-E23-I23*B10)/101</f>
        <v>0.01119181512505942</v>
      </c>
      <c r="L23" s="7">
        <f>(100*J23-K23*10100)/(100*J23+101*K23)*10000</f>
        <v>9841.531831269207</v>
      </c>
      <c r="M23" s="6">
        <f>(B9-L23)/B9*100</f>
        <v>1.5846816873079297</v>
      </c>
      <c r="N23" s="10">
        <f>(J23*L24/(L24+B8)-E23/101)*101/5000</f>
        <v>-9.950100299212712E-05</v>
      </c>
      <c r="P23">
        <f>N23*1000*O27+O28</f>
        <v>-0.1189857729628044</v>
      </c>
      <c r="Q23" s="11">
        <f>E23/B13*1000</f>
        <v>0.005950191666666666</v>
      </c>
      <c r="R23" s="11">
        <f>(Q23-P23)/Q23*100</f>
        <v>2099.696474138302</v>
      </c>
    </row>
    <row r="24" spans="1:14" ht="12.75">
      <c r="A24" t="s">
        <v>19</v>
      </c>
      <c r="B24">
        <f>(B18-B19-B17*B10)/101</f>
        <v>0.030479566449108767</v>
      </c>
      <c r="J24" s="7"/>
      <c r="L24">
        <f>(L19+L20+L21+L22+L23)/5</f>
        <v>9841.798851261741</v>
      </c>
      <c r="M24" s="6">
        <f>(B9-L24)/B9*100</f>
        <v>1.582011487382588</v>
      </c>
      <c r="N24" s="10"/>
    </row>
    <row r="25" spans="1:2" ht="12.75">
      <c r="A25" t="s">
        <v>21</v>
      </c>
      <c r="B25" s="6">
        <f>(100*B18-B24*10100)/(100*B18+101*B24)*10000</f>
        <v>9556.020883987749</v>
      </c>
    </row>
    <row r="26" spans="1:15" ht="12.75">
      <c r="A26" t="s">
        <v>22</v>
      </c>
      <c r="B26" s="6">
        <f>(B9-B25)/B9*100</f>
        <v>4.439791160122513</v>
      </c>
      <c r="D26" t="s">
        <v>46</v>
      </c>
      <c r="F26" s="2"/>
      <c r="G26" s="2"/>
      <c r="O26" s="2" t="s">
        <v>49</v>
      </c>
    </row>
    <row r="27" spans="4:18" ht="12.75">
      <c r="D27" s="14" t="s">
        <v>53</v>
      </c>
      <c r="E27">
        <v>45.3265555556</v>
      </c>
      <c r="H27" s="6">
        <v>0.00041</v>
      </c>
      <c r="J27" s="12">
        <f>E27*(D28+B10)/D28</f>
        <v>47.76854146162561</v>
      </c>
      <c r="K27" s="13">
        <f>J27/101-J27*L24/(L24+B8)</f>
        <v>0.007409295180256126</v>
      </c>
      <c r="L27" s="7">
        <v>9841.8</v>
      </c>
      <c r="M27" s="6"/>
      <c r="N27">
        <f>(J27*L27/(L27+B8)-E27/101)*101/5000</f>
        <v>0.00033873050550939924</v>
      </c>
      <c r="O27" s="1">
        <f>LINEST(H27:H29,N27:N29,TRUE,TRUE)</f>
        <v>1.2107341036952177</v>
      </c>
      <c r="P27">
        <f>N27*1000*O27+O28</f>
        <v>0.4115960596937943</v>
      </c>
      <c r="Q27" s="11">
        <f>E27/B3*1000</f>
        <v>0.41205959596</v>
      </c>
      <c r="R27" s="11">
        <f>(Q27-P27)/Q27*100</f>
        <v>0.11249253038890708</v>
      </c>
    </row>
    <row r="28" spans="4:18" ht="12.75">
      <c r="D28" s="6">
        <f>1/(1/(B6+L24)+1/B3+1/B5+1/B12)</f>
        <v>92806.750939382</v>
      </c>
      <c r="E28">
        <v>68.0066666667</v>
      </c>
      <c r="H28" s="6">
        <v>0.00062</v>
      </c>
      <c r="J28" s="12">
        <f>E28*(D28+B10)/D28</f>
        <v>71.67055242815282</v>
      </c>
      <c r="K28" s="13">
        <f>J28/101-J28*L24/(L24+B8)</f>
        <v>0.011116694427415252</v>
      </c>
      <c r="L28" s="7">
        <v>9841.8</v>
      </c>
      <c r="M28" s="6"/>
      <c r="N28">
        <f>(J28*L28/(L28+B8)-E28/101)*101/5000</f>
        <v>0.0005082215556786213</v>
      </c>
      <c r="O28" s="9">
        <f>INTERCEPT(H27:H29,N27:N29)*1000</f>
        <v>0.0014834847116438005</v>
      </c>
      <c r="P28">
        <f>N28*1000*O27+O28</f>
        <v>0.6168046544047885</v>
      </c>
      <c r="Q28" s="11">
        <f>E28/B3*1000</f>
        <v>0.6182424242427272</v>
      </c>
      <c r="R28" s="11">
        <f>(Q28-P28)/Q28*100</f>
        <v>0.23255761519437088</v>
      </c>
    </row>
    <row r="29" spans="5:18" ht="12.75">
      <c r="E29">
        <v>90.641025641</v>
      </c>
      <c r="H29" s="6">
        <v>0.00082</v>
      </c>
      <c r="J29" s="12">
        <f>E29*(D28+B10)/D28</f>
        <v>95.52434634361803</v>
      </c>
      <c r="K29" s="13">
        <f>J29/101-J29*L24/(L24+B8)</f>
        <v>0.014816614811851925</v>
      </c>
      <c r="L29" s="7">
        <v>9841.8</v>
      </c>
      <c r="M29" s="6"/>
      <c r="N29">
        <f>(J29*L29/(L29+B8)-E29/101)*101/5000</f>
        <v>0.000677370694925286</v>
      </c>
      <c r="P29">
        <f>N29*1000*O27+O28</f>
        <v>0.8215992859014167</v>
      </c>
      <c r="Q29" s="11">
        <f>E29/B3*1000</f>
        <v>0.8240093240090909</v>
      </c>
      <c r="R29" s="11">
        <f>(Q29-P29)/Q29*100</f>
        <v>0.29247704333592733</v>
      </c>
    </row>
    <row r="30" spans="10:17" ht="12.75">
      <c r="J30" s="7"/>
      <c r="L30" s="7">
        <v>9841.8</v>
      </c>
      <c r="M30" s="6"/>
      <c r="Q30" s="11"/>
    </row>
    <row r="51" spans="5:22" ht="12.75">
      <c r="E51" s="1"/>
      <c r="F51" s="1"/>
      <c r="G51" s="1"/>
      <c r="K51" s="1"/>
      <c r="N51" s="3"/>
      <c r="O51" s="3"/>
      <c r="P51" s="3"/>
      <c r="Q51" s="3"/>
      <c r="S51" s="4"/>
      <c r="T51" s="4"/>
      <c r="U51" s="5"/>
      <c r="V51" s="4"/>
    </row>
    <row r="52" spans="5:11" ht="12.75">
      <c r="E52" s="1"/>
      <c r="F52" s="1"/>
      <c r="G52" s="1"/>
      <c r="K52" s="1"/>
    </row>
    <row r="57" spans="5:22" ht="12.75">
      <c r="E57" s="1"/>
      <c r="F57" s="1"/>
      <c r="G57" s="1"/>
      <c r="K57" s="1"/>
      <c r="N57" s="4"/>
      <c r="O57" s="4"/>
      <c r="P57" s="3"/>
      <c r="Q57" s="3"/>
      <c r="S57" s="4"/>
      <c r="T57" s="4"/>
      <c r="U57" s="5"/>
      <c r="V57" s="4"/>
    </row>
    <row r="58" spans="5:11" ht="12.75">
      <c r="E58" s="1"/>
      <c r="F58" s="1"/>
      <c r="G58" s="1"/>
      <c r="K58" s="1"/>
    </row>
    <row r="63" spans="5:11" ht="12.75">
      <c r="E63" s="1"/>
      <c r="F63" s="1"/>
      <c r="G63" s="1"/>
      <c r="K63" s="1"/>
    </row>
    <row r="64" spans="5:11" ht="12.75">
      <c r="E64" s="1"/>
      <c r="F64" s="1"/>
      <c r="G64" s="1"/>
      <c r="K64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4"/>
  <sheetViews>
    <sheetView workbookViewId="0" topLeftCell="A1">
      <selection activeCell="D27" sqref="D27"/>
    </sheetView>
  </sheetViews>
  <sheetFormatPr defaultColWidth="9.140625" defaultRowHeight="12.75"/>
  <cols>
    <col min="1" max="1" width="32.140625" style="0" bestFit="1" customWidth="1"/>
    <col min="3" max="3" width="16.57421875" style="0" customWidth="1"/>
    <col min="4" max="4" width="23.57421875" style="0" bestFit="1" customWidth="1"/>
    <col min="5" max="5" width="12.57421875" style="0" bestFit="1" customWidth="1"/>
    <col min="6" max="7" width="12.57421875" style="0" customWidth="1"/>
    <col min="9" max="9" width="13.421875" style="0" bestFit="1" customWidth="1"/>
    <col min="13" max="13" width="9.57421875" style="0" bestFit="1" customWidth="1"/>
    <col min="14" max="14" width="14.57421875" style="0" customWidth="1"/>
    <col min="15" max="15" width="16.421875" style="0" customWidth="1"/>
    <col min="16" max="16" width="12.00390625" style="0" bestFit="1" customWidth="1"/>
    <col min="17" max="17" width="12.57421875" style="0" bestFit="1" customWidth="1"/>
    <col min="18" max="18" width="14.28125" style="0" bestFit="1" customWidth="1"/>
  </cols>
  <sheetData>
    <row r="1" spans="1:18" ht="12.75">
      <c r="A1" t="s">
        <v>39</v>
      </c>
      <c r="B1" t="s">
        <v>2</v>
      </c>
      <c r="D1" t="s">
        <v>23</v>
      </c>
      <c r="E1" s="2" t="s">
        <v>24</v>
      </c>
      <c r="F1" s="2" t="s">
        <v>0</v>
      </c>
      <c r="G1" s="2" t="s">
        <v>1</v>
      </c>
      <c r="H1" t="s">
        <v>25</v>
      </c>
      <c r="I1" t="s">
        <v>26</v>
      </c>
      <c r="J1" t="s">
        <v>27</v>
      </c>
      <c r="K1" t="s">
        <v>38</v>
      </c>
      <c r="L1" t="s">
        <v>28</v>
      </c>
      <c r="M1" t="s">
        <v>29</v>
      </c>
      <c r="N1" t="s">
        <v>30</v>
      </c>
      <c r="P1" t="s">
        <v>32</v>
      </c>
      <c r="Q1" t="s">
        <v>33</v>
      </c>
      <c r="R1" t="s">
        <v>34</v>
      </c>
    </row>
    <row r="2" spans="4:17" ht="12.75">
      <c r="D2" t="s">
        <v>36</v>
      </c>
      <c r="E2" s="2" t="s">
        <v>40</v>
      </c>
      <c r="F2" s="2" t="s">
        <v>40</v>
      </c>
      <c r="G2" s="2" t="s">
        <v>41</v>
      </c>
      <c r="H2" s="2" t="s">
        <v>42</v>
      </c>
      <c r="I2" s="2" t="s">
        <v>42</v>
      </c>
      <c r="J2" s="2" t="s">
        <v>40</v>
      </c>
      <c r="K2" s="2" t="s">
        <v>40</v>
      </c>
      <c r="L2" s="2" t="s">
        <v>43</v>
      </c>
      <c r="M2" s="2" t="s">
        <v>44</v>
      </c>
      <c r="N2" s="2" t="s">
        <v>42</v>
      </c>
      <c r="O2" s="2" t="s">
        <v>47</v>
      </c>
      <c r="P2" s="2" t="s">
        <v>45</v>
      </c>
      <c r="Q2" s="2" t="s">
        <v>45</v>
      </c>
    </row>
    <row r="3" spans="1:18" ht="12.75">
      <c r="A3" t="s">
        <v>3</v>
      </c>
      <c r="B3" s="6">
        <v>38700</v>
      </c>
      <c r="E3">
        <v>69.8604297924</v>
      </c>
      <c r="H3" s="6">
        <v>0.0018</v>
      </c>
      <c r="I3" s="6">
        <v>0.00192263676411</v>
      </c>
      <c r="J3" s="7">
        <f>E3*(B15+B10)/B15</f>
        <v>79.49201993552873</v>
      </c>
      <c r="K3">
        <f>(J3-E3-I3*B10)/101</f>
        <v>0.00018224081761121104</v>
      </c>
      <c r="L3" s="7">
        <f>(100*J3-K3*10100)/(100*J3+101*K3)*10000</f>
        <v>9997.661357357156</v>
      </c>
      <c r="M3" s="6">
        <f>(B9-L3)/B9*100</f>
        <v>0.023386426428442065</v>
      </c>
      <c r="N3">
        <f>(J3*L6/(L6+B8)-E3/101)*101/5000</f>
        <v>0.0019244952712446442</v>
      </c>
      <c r="O3" s="1">
        <f>LINEST(H3:H5,N3:N5,TRUE,TRUE)</f>
        <v>0.9398377832547654</v>
      </c>
      <c r="P3">
        <f>N3*1000*O9+O10</f>
        <v>1.8028209080425421</v>
      </c>
      <c r="Q3" s="11">
        <f>E3/B3*1000</f>
        <v>1.8051790644031007</v>
      </c>
      <c r="R3" s="11">
        <f>(Q3-P3)/Q3*100</f>
        <v>0.13063282236426388</v>
      </c>
    </row>
    <row r="4" spans="1:18" ht="12.75">
      <c r="A4" t="s">
        <v>4</v>
      </c>
      <c r="B4" s="6">
        <v>20000000</v>
      </c>
      <c r="E4">
        <v>105.065095849</v>
      </c>
      <c r="H4" s="6">
        <v>0.00271</v>
      </c>
      <c r="I4" s="6">
        <v>0.00289185616127</v>
      </c>
      <c r="J4" s="7">
        <f>E4*(B15+B10)/B15</f>
        <v>119.5503193807366</v>
      </c>
      <c r="K4">
        <f>(J4-E4-I4*B10)/101</f>
        <v>0.00025685866719400035</v>
      </c>
      <c r="L4" s="7">
        <f>(100*J4-K4*10100)/(100*J4+101*K4)*10000</f>
        <v>9997.808278897375</v>
      </c>
      <c r="M4" s="6">
        <f>(B9-L4)/B9*100</f>
        <v>0.021917211026247968</v>
      </c>
      <c r="N4">
        <f>(J4*L6/(L6+B8)-E4/101)*101/5000</f>
        <v>0.002894303409456873</v>
      </c>
      <c r="O4" s="9">
        <f>INTERCEPT(H3:H5,N3:N5)*1000</f>
        <v>-0.009200290449567182</v>
      </c>
      <c r="P4">
        <f>N4*1000*O9+O10</f>
        <v>2.7101328771507287</v>
      </c>
      <c r="Q4" s="11">
        <f>E4/B3*1000</f>
        <v>2.7148603578552972</v>
      </c>
      <c r="R4" s="11">
        <f>(Q4-P4)/Q4*100</f>
        <v>0.1741334758117418</v>
      </c>
    </row>
    <row r="5" spans="1:18" ht="12.75">
      <c r="A5" t="s">
        <v>5</v>
      </c>
      <c r="B5" s="6">
        <v>10000000</v>
      </c>
      <c r="E5">
        <v>140.156738095</v>
      </c>
      <c r="H5" s="6">
        <v>0.00362</v>
      </c>
      <c r="I5" s="6">
        <v>0.00386799121358</v>
      </c>
      <c r="J5" s="7">
        <f>E5*(B15+B10)/B15</f>
        <v>159.48001253147842</v>
      </c>
      <c r="K5">
        <f>(J5-E5-I5*B10)/101</f>
        <v>-0.00016516466754046716</v>
      </c>
      <c r="L5" s="7">
        <f>(100*J5-K5*10100)/(100*J5+101*K5)*10000</f>
        <v>10001.056462505356</v>
      </c>
      <c r="M5" s="6">
        <f>(B9-L5)/B9*100</f>
        <v>-0.010564625053557394</v>
      </c>
      <c r="N5">
        <f>(J5*L6/(L6+B8)-E5/101)*101/5000</f>
        <v>0.003860997999846905</v>
      </c>
      <c r="P5">
        <f>N5*1000*O9+O10</f>
        <v>3.614531941021105</v>
      </c>
      <c r="Q5" s="11">
        <f>E5/B3*1000</f>
        <v>3.621621139405685</v>
      </c>
      <c r="R5" s="11">
        <f>(Q5-P5)/Q5*100</f>
        <v>0.1957465486227902</v>
      </c>
    </row>
    <row r="6" spans="1:17" ht="12.75">
      <c r="A6" t="s">
        <v>6</v>
      </c>
      <c r="B6" s="6">
        <v>1000000</v>
      </c>
      <c r="J6" s="7"/>
      <c r="L6">
        <f>(L3+L4+L5)/3</f>
        <v>9998.842032919962</v>
      </c>
      <c r="M6" s="6">
        <f>(B9-L6)/B9*100</f>
        <v>0.01157967080038361</v>
      </c>
      <c r="Q6" s="11"/>
    </row>
    <row r="7" spans="1:2" ht="12.75">
      <c r="A7" t="s">
        <v>7</v>
      </c>
      <c r="B7" s="6">
        <v>10000</v>
      </c>
    </row>
    <row r="8" spans="1:15" ht="12.75">
      <c r="A8" t="s">
        <v>8</v>
      </c>
      <c r="B8" s="6">
        <v>1000000</v>
      </c>
      <c r="D8" t="s">
        <v>37</v>
      </c>
      <c r="O8" s="2" t="s">
        <v>48</v>
      </c>
    </row>
    <row r="9" spans="1:18" ht="12.75">
      <c r="A9" t="s">
        <v>9</v>
      </c>
      <c r="B9" s="6">
        <v>10000</v>
      </c>
      <c r="E9">
        <v>30.83</v>
      </c>
      <c r="F9">
        <v>0.615651385</v>
      </c>
      <c r="G9">
        <f>F9/0.06166</f>
        <v>9.984615390853065</v>
      </c>
      <c r="I9">
        <f>G9*0.01209/1000</f>
        <v>0.00012071400007541356</v>
      </c>
      <c r="J9" s="7">
        <f>E9*(B16+B10)/B16</f>
        <v>31.388147316726304</v>
      </c>
      <c r="K9">
        <f>(J9-E9-I9*B10)/101</f>
        <v>-0.0004497295410966553</v>
      </c>
      <c r="L9" s="7">
        <f>(100*J9-K9*10100)/(100*J9+101*K9)*10000</f>
        <v>10014.616209721398</v>
      </c>
      <c r="M9" s="6">
        <f>(B9-L9)/B9*100</f>
        <v>-0.14616209721398263</v>
      </c>
      <c r="N9" s="10">
        <f>(J9*L14/(L14+B8)-E9/101)*101/5000</f>
        <v>0.00011090118263456996</v>
      </c>
      <c r="O9">
        <v>0.935558213381</v>
      </c>
      <c r="P9">
        <f>N9*1000*O9+O10</f>
        <v>0.10609806270415825</v>
      </c>
      <c r="Q9" s="11">
        <f>E9/B13*1000</f>
        <v>0.05816981132075471</v>
      </c>
      <c r="R9" s="11">
        <f>(Q9-P9)/Q9*100</f>
        <v>-82.3936854790914</v>
      </c>
    </row>
    <row r="10" spans="1:18" ht="12.75">
      <c r="A10" t="s">
        <v>10</v>
      </c>
      <c r="B10" s="6">
        <v>5000</v>
      </c>
      <c r="E10">
        <v>51.3628</v>
      </c>
      <c r="F10">
        <v>0.961896</v>
      </c>
      <c r="G10">
        <f>F10/0.06166</f>
        <v>15.6</v>
      </c>
      <c r="I10">
        <f>G10*0.01209/1000</f>
        <v>0.00018860399999999999</v>
      </c>
      <c r="J10" s="7">
        <f>E10*(B16+B10)/B16</f>
        <v>52.29267379174668</v>
      </c>
      <c r="K10">
        <f>(J10-E10-I10*B10)/101</f>
        <v>-0.0001301604777556482</v>
      </c>
      <c r="L10" s="7">
        <f>(100*J10-K10*10100)/(100*J10+101*K10)*10000</f>
        <v>10002.539113560812</v>
      </c>
      <c r="M10" s="6">
        <f>(B9-L10)/B9*100</f>
        <v>-0.02539113560811529</v>
      </c>
      <c r="N10" s="10">
        <f>(J10*L14/(L14+B8)-E10/101)*101/5000</f>
        <v>0.00018476144221287407</v>
      </c>
      <c r="O10">
        <v>0.00234355041672</v>
      </c>
      <c r="P10">
        <f>N10*1000*O9+O10</f>
        <v>0.17519863519509332</v>
      </c>
      <c r="Q10" s="11">
        <f>E10/B13*1000</f>
        <v>0.09691094339622641</v>
      </c>
      <c r="R10" s="11">
        <f>(Q10-P10)/Q10*100</f>
        <v>-80.78312836021297</v>
      </c>
    </row>
    <row r="11" spans="1:18" ht="12.75">
      <c r="A11" t="s">
        <v>11</v>
      </c>
      <c r="B11" s="6">
        <v>933000</v>
      </c>
      <c r="E11">
        <v>71.8339</v>
      </c>
      <c r="F11">
        <v>1.348918082</v>
      </c>
      <c r="G11">
        <f>F11/0.06166</f>
        <v>21.87671232565683</v>
      </c>
      <c r="I11">
        <f>G11*0.01209/1000</f>
        <v>0.00026448945201719106</v>
      </c>
      <c r="J11" s="7">
        <f>E11*(B16+B10)/B16</f>
        <v>73.1343832479723</v>
      </c>
      <c r="K11">
        <f>(J11-E11-I11*B10)/101</f>
        <v>-0.00021746546647188506</v>
      </c>
      <c r="L11" s="7">
        <f>(100*J11-K11*10100)/(100*J11+101*K11)*10000</f>
        <v>10003.033281730512</v>
      </c>
      <c r="M11" s="6">
        <f>(B9-L11)/B9*100</f>
        <v>-0.030332817305115896</v>
      </c>
      <c r="N11" s="10">
        <f>(J11*L14/(L14+B8)-E11/101)*101/5000</f>
        <v>0.0002583997555385493</v>
      </c>
      <c r="P11">
        <f>N11*1000*O9+O10</f>
        <v>0.2440915640464523</v>
      </c>
      <c r="Q11" s="11">
        <f>E11/B13*1000</f>
        <v>0.13553566037735848</v>
      </c>
      <c r="R11" s="11">
        <f>(Q11-P11)/Q11*100</f>
        <v>-80.09397922794075</v>
      </c>
    </row>
    <row r="12" spans="1:18" ht="12.75">
      <c r="A12" t="s">
        <v>12</v>
      </c>
      <c r="B12" s="6">
        <v>1553000</v>
      </c>
      <c r="E12">
        <v>92.4283</v>
      </c>
      <c r="F12">
        <v>1.614303373</v>
      </c>
      <c r="G12">
        <f>F12/0.06166</f>
        <v>26.18072288355498</v>
      </c>
      <c r="I12">
        <f>G12*0.01209/1000</f>
        <v>0.0003165249396621797</v>
      </c>
      <c r="J12" s="7">
        <f>E12*(B16+B10)/B16</f>
        <v>94.10162493138417</v>
      </c>
      <c r="K12">
        <f>(J12-E12-I12*B10)/101</f>
        <v>0.0008980221096363764</v>
      </c>
      <c r="L12" s="7">
        <f>(100*J12-K12*10100)/(100*J12+101*K12)*10000</f>
        <v>9990.26516784176</v>
      </c>
      <c r="M12" s="6">
        <f>(B9-L12)/B9*100</f>
        <v>0.09734832158239441</v>
      </c>
      <c r="N12" s="10">
        <f>(J12*L14/(L14+B8)-E12/101)*101/5000</f>
        <v>0.00033248160165108104</v>
      </c>
      <c r="P12">
        <f>N12*1000*O9+O10</f>
        <v>0.3133994436394587</v>
      </c>
      <c r="Q12" s="11">
        <f>E12/B13*1000</f>
        <v>0.17439301886792452</v>
      </c>
      <c r="R12" s="11">
        <f>(Q12-P12)/Q12*100</f>
        <v>-79.70870948498796</v>
      </c>
    </row>
    <row r="13" spans="1:18" ht="12.75">
      <c r="A13" t="s">
        <v>50</v>
      </c>
      <c r="B13" s="8">
        <v>530000</v>
      </c>
      <c r="E13">
        <v>102.7872</v>
      </c>
      <c r="F13">
        <v>1.72570925</v>
      </c>
      <c r="G13">
        <f>F13/0.06166</f>
        <v>27.9875</v>
      </c>
      <c r="I13">
        <f>G13*0.01209/1000</f>
        <v>0.000338368875</v>
      </c>
      <c r="J13" s="7">
        <f>E13*(B16+B10)/B16</f>
        <v>104.64806279188487</v>
      </c>
      <c r="K13">
        <f>(J13-E13-I13*B10)/101</f>
        <v>0.0016734496721274221</v>
      </c>
      <c r="L13" s="7">
        <f>(100*J13-K13*10100)/(100*J13+101*K13)*10000</f>
        <v>9983.687625035027</v>
      </c>
      <c r="M13" s="6">
        <f>(B9-L13)/B9*100</f>
        <v>0.1631237496497306</v>
      </c>
      <c r="N13" s="10">
        <f>(J13*L14/(L14+B8)-E13/101)*101/5000</f>
        <v>0.0003697444709599814</v>
      </c>
      <c r="P13">
        <f>N13*1000*O9+O10</f>
        <v>0.34826102707554324</v>
      </c>
      <c r="Q13" s="11">
        <f>E13/B13*1000</f>
        <v>0.19393811320754717</v>
      </c>
      <c r="R13" s="11">
        <f>(Q13-P13)/Q13*100</f>
        <v>-79.57327794709644</v>
      </c>
    </row>
    <row r="14" spans="10:14" ht="12.75">
      <c r="J14" s="7"/>
      <c r="L14">
        <f>(L9+L10+L11+L12+L13)/5</f>
        <v>9998.828279577901</v>
      </c>
      <c r="M14" s="6">
        <f>(B9-L14)/B9*100</f>
        <v>0.011717204220985877</v>
      </c>
      <c r="N14" s="10"/>
    </row>
    <row r="15" spans="1:2" ht="12.75">
      <c r="A15" t="s">
        <v>14</v>
      </c>
      <c r="B15" s="6">
        <f>1/(1/(B6+B7)+1/B3+1/B5+1/B12)</f>
        <v>36266.30117885521</v>
      </c>
    </row>
    <row r="16" spans="1:4" ht="12.75">
      <c r="A16" t="s">
        <v>31</v>
      </c>
      <c r="B16" s="6">
        <f>1/(1/(B6+B7)+1/B13+1/B5+1/B12)</f>
        <v>276181.5660140287</v>
      </c>
      <c r="D16" t="s">
        <v>35</v>
      </c>
    </row>
    <row r="17" spans="1:2" ht="12.75">
      <c r="A17" t="s">
        <v>20</v>
      </c>
      <c r="B17" s="6">
        <v>0.0001</v>
      </c>
    </row>
    <row r="18" spans="1:4" ht="12.75">
      <c r="A18" t="s">
        <v>16</v>
      </c>
      <c r="B18" s="6">
        <v>70</v>
      </c>
      <c r="D18" t="s">
        <v>37</v>
      </c>
    </row>
    <row r="19" spans="1:18" ht="12.75">
      <c r="A19" t="s">
        <v>13</v>
      </c>
      <c r="B19" s="6">
        <f>B18*B15/(B15+B10)</f>
        <v>61.51850323383624</v>
      </c>
      <c r="E19">
        <v>30.8917</v>
      </c>
      <c r="F19">
        <v>0.667049091</v>
      </c>
      <c r="G19">
        <f>F19/0.06166</f>
        <v>10.818181819656179</v>
      </c>
      <c r="I19">
        <f>G19*0.01209/1000</f>
        <v>0.00013079181819964319</v>
      </c>
      <c r="J19" s="7">
        <f>E19*(B16+B10)/B16</f>
        <v>31.450964335521057</v>
      </c>
      <c r="K19">
        <f>(J19-E19-I19*B10)/101</f>
        <v>-0.0009375718364075149</v>
      </c>
      <c r="L19" s="7">
        <f>(100*J19-K19*10100)/(100*J19+101*K19)*10000</f>
        <v>10030.41069957199</v>
      </c>
      <c r="M19" s="6">
        <f>(B9-L19)/B9*100</f>
        <v>-0.30410699571990335</v>
      </c>
      <c r="N19" s="10">
        <f>(J19*L24/(L24+B8)-E19/101)*101/5000</f>
        <v>0.0001158831941867906</v>
      </c>
      <c r="P19">
        <f>N19*1000*O27+O28</f>
        <v>0.09903571683899834</v>
      </c>
      <c r="Q19" s="11">
        <f>E19/B13*1000</f>
        <v>0.05828622641509434</v>
      </c>
      <c r="R19" s="11">
        <f>(Q19-P19)/Q19*100</f>
        <v>-69.91272712304315</v>
      </c>
    </row>
    <row r="20" spans="1:18" ht="12.75">
      <c r="A20" t="s">
        <v>15</v>
      </c>
      <c r="B20" s="6">
        <f>B18*(B15+B10)/B15</f>
        <v>79.65083255317101</v>
      </c>
      <c r="E20">
        <v>51.4861</v>
      </c>
      <c r="F20">
        <v>0.9840936</v>
      </c>
      <c r="G20">
        <f>F20/0.06166</f>
        <v>15.96</v>
      </c>
      <c r="I20">
        <f>G20*0.01209/1000</f>
        <v>0.0001929564</v>
      </c>
      <c r="J20" s="7">
        <f>E20*(B16+B10)/B16</f>
        <v>52.41820601893294</v>
      </c>
      <c r="K20">
        <f>(J20-E20-I20*B10)/101</f>
        <v>-0.00032352456502038</v>
      </c>
      <c r="L20" s="7">
        <f>(100*J20-K20*10100)/(100*J20+101*K20)*10000</f>
        <v>10006.296084722273</v>
      </c>
      <c r="M20" s="6">
        <f>(B9-L20)/B9*100</f>
        <v>-0.06296084722273008</v>
      </c>
      <c r="N20" s="10">
        <f>(J20*L24/(L24+B8)-E20/101)*101/5000</f>
        <v>0.00019313840689313285</v>
      </c>
      <c r="P20">
        <f>N20*1000*O27+O28</f>
        <v>0.17119282144974174</v>
      </c>
      <c r="Q20" s="11">
        <f>E20/B13*1000</f>
        <v>0.09714358490566039</v>
      </c>
      <c r="R20" s="11">
        <f>(Q20-P20)/Q20*100</f>
        <v>-76.2265842011011</v>
      </c>
    </row>
    <row r="21" spans="5:18" ht="12.75">
      <c r="E21">
        <v>72.1422</v>
      </c>
      <c r="F21">
        <v>1.35652</v>
      </c>
      <c r="G21">
        <f>F21/0.06166</f>
        <v>22</v>
      </c>
      <c r="I21">
        <f>G21*0.01209/1000</f>
        <v>0.00026597999999999997</v>
      </c>
      <c r="J21" s="7">
        <f>E21*(B16+B10)/B16</f>
        <v>73.44826472113957</v>
      </c>
      <c r="K21">
        <f>(J21-E21-I21*B10)/101</f>
        <v>-0.00023599286000432248</v>
      </c>
      <c r="L21" s="7">
        <f>(100*J21-K21*10100)/(100*J21+101*K21)*10000</f>
        <v>10003.277641733803</v>
      </c>
      <c r="M21" s="6">
        <f>(B9-L21)/B9*100</f>
        <v>-0.032776417338027386</v>
      </c>
      <c r="N21" s="10">
        <f>(J21*L24/(L24+B8)-E21/101)*101/5000</f>
        <v>0.0002706250731316916</v>
      </c>
      <c r="P21">
        <f>N21*1000*O27+O28</f>
        <v>0.2435661058644312</v>
      </c>
      <c r="Q21" s="11">
        <f>E21/B13*1000</f>
        <v>0.13611735849056603</v>
      </c>
      <c r="R21" s="11">
        <f>(Q21-P21)/Q21*100</f>
        <v>-78.93831364741932</v>
      </c>
    </row>
    <row r="22" spans="1:18" ht="12.75">
      <c r="A22" t="s">
        <v>17</v>
      </c>
      <c r="B22" s="6">
        <f>B18*B7/(B7+B6)</f>
        <v>0.693069306930693</v>
      </c>
      <c r="E22">
        <v>92.86</v>
      </c>
      <c r="F22">
        <v>1.70411978</v>
      </c>
      <c r="G22">
        <f>F22/0.06166</f>
        <v>27.63736263379825</v>
      </c>
      <c r="I22">
        <f>G22*0.01209/1000</f>
        <v>0.00033413571424262083</v>
      </c>
      <c r="J22" s="7">
        <f>E22*(B16+B10)/B16</f>
        <v>94.54114044214093</v>
      </c>
      <c r="K22">
        <f>(J22-E22-I22*B10)/101</f>
        <v>0.00010358288047351728</v>
      </c>
      <c r="L22" s="7">
        <f>(100*J22-K22*10100)/(100*J22+101*K22)*10000</f>
        <v>9998.882340757167</v>
      </c>
      <c r="M22" s="6">
        <f>(B9-L22)/B9*100</f>
        <v>0.011176592428328148</v>
      </c>
      <c r="N22" s="10">
        <f>(J22*L24/(L24+B8)-E22/101)*101/5000</f>
        <v>0.00034834319290247354</v>
      </c>
      <c r="P22">
        <f>N22*1000*O27+O28</f>
        <v>0.31615557008307316</v>
      </c>
      <c r="Q22" s="11">
        <f>E22/B13*1000</f>
        <v>0.17520754716981132</v>
      </c>
      <c r="R22" s="11">
        <f>(Q22-P22)/Q22*100</f>
        <v>-80.4463193452819</v>
      </c>
    </row>
    <row r="23" spans="1:18" ht="12.75">
      <c r="A23" t="s">
        <v>18</v>
      </c>
      <c r="B23" s="6">
        <f>B18*B9/(B9+B8)</f>
        <v>0.693069306930693</v>
      </c>
      <c r="E23">
        <v>103.2805</v>
      </c>
      <c r="F23">
        <v>1.838092405</v>
      </c>
      <c r="G23">
        <f>F23/0.06166</f>
        <v>29.810126581252028</v>
      </c>
      <c r="I23">
        <f>G23*0.01209/1000</f>
        <v>0.000360404430367337</v>
      </c>
      <c r="J23" s="7">
        <f>E23*(B16+B10)/B16</f>
        <v>105.15029351103313</v>
      </c>
      <c r="K23">
        <f>(J23-E23-I23*B10)/101</f>
        <v>0.0006710035564003757</v>
      </c>
      <c r="L23" s="7">
        <f>(100*J23-K23*10100)/(100*J23+101*K23)*10000</f>
        <v>9993.490400327148</v>
      </c>
      <c r="M23" s="6">
        <f>(B9-L23)/B9*100</f>
        <v>0.06509599672852345</v>
      </c>
      <c r="N23" s="10">
        <f>(J23*L24/(L24+B8)-E23/101)*101/5000</f>
        <v>0.00038743333119280936</v>
      </c>
      <c r="P23">
        <f>N23*1000*O27+O28</f>
        <v>0.35266613162389493</v>
      </c>
      <c r="Q23" s="11">
        <f>E23/B13*1000</f>
        <v>0.19486886792452832</v>
      </c>
      <c r="R23" s="11">
        <f>(Q23-P23)/Q23*100</f>
        <v>-80.97612788538426</v>
      </c>
    </row>
    <row r="24" spans="1:14" ht="12.75">
      <c r="A24" t="s">
        <v>19</v>
      </c>
      <c r="B24">
        <f>(B18-B19-B17*B10)/101</f>
        <v>0.07902472045706692</v>
      </c>
      <c r="J24" s="7"/>
      <c r="L24">
        <f>(L19+L20+L21+L22+L23)/5</f>
        <v>10006.471433422475</v>
      </c>
      <c r="M24" s="6">
        <f>(B9-L24)/B9*100</f>
        <v>-0.06471433422475457</v>
      </c>
      <c r="N24" s="10"/>
    </row>
    <row r="25" spans="1:2" ht="12.75">
      <c r="A25" t="s">
        <v>21</v>
      </c>
      <c r="B25" s="6">
        <f>(100*B18-B24*10100)/(100*B18+101*B24)*10000</f>
        <v>8849.695630968019</v>
      </c>
    </row>
    <row r="26" spans="1:15" ht="12.75">
      <c r="A26" t="s">
        <v>22</v>
      </c>
      <c r="B26" s="6">
        <f>(B9-B25)/B9*100</f>
        <v>11.50304369031981</v>
      </c>
      <c r="D26" t="s">
        <v>46</v>
      </c>
      <c r="F26" s="2"/>
      <c r="G26" s="2"/>
      <c r="O26" s="2" t="s">
        <v>49</v>
      </c>
    </row>
    <row r="27" spans="4:18" ht="12.75">
      <c r="D27" s="14" t="s">
        <v>53</v>
      </c>
      <c r="E27">
        <v>69.8604297924</v>
      </c>
      <c r="H27" s="6">
        <v>0.0018</v>
      </c>
      <c r="J27" s="12">
        <f>E27*(D28+B10)/D28</f>
        <v>79.49201771959783</v>
      </c>
      <c r="K27" s="13">
        <f>J27/101-J27*L24/(L24+B8)</f>
        <v>-0.0005042878190284483</v>
      </c>
      <c r="L27" s="7">
        <f>L24</f>
        <v>10006.471433422475</v>
      </c>
      <c r="M27" s="6"/>
      <c r="N27">
        <f>(J27*L27/(L27+B8)-E27/101)*101/5000</f>
        <v>0.0019365041993839411</v>
      </c>
      <c r="O27" s="1">
        <f>LINEST(H27:H29,N27:N29,TRUE,TRUE)</f>
        <v>0.9340095261276741</v>
      </c>
      <c r="P27">
        <f>N27*1000*O27+O28</f>
        <v>1.7995130791612786</v>
      </c>
      <c r="Q27" s="11">
        <f>E27/B3*1000</f>
        <v>1.8051790644031007</v>
      </c>
      <c r="R27" s="11">
        <f>(Q27-P27)/Q27*100</f>
        <v>0.3138738617986171</v>
      </c>
    </row>
    <row r="28" spans="4:18" ht="12.75">
      <c r="D28" s="6">
        <f>1/(1/(B6+L24)+1/B3+1/B5+1/B12)</f>
        <v>36266.309522611016</v>
      </c>
      <c r="E28">
        <v>105.065095849</v>
      </c>
      <c r="H28" s="6">
        <v>0.00271</v>
      </c>
      <c r="J28" s="12">
        <f>E28*(D28+B10)/D28</f>
        <v>119.5503160481348</v>
      </c>
      <c r="K28" s="13">
        <f>J28/101-J28*L24/(L24+B8)</f>
        <v>-0.0007584128554485314</v>
      </c>
      <c r="L28" s="7">
        <f>L24</f>
        <v>10006.471433422475</v>
      </c>
      <c r="M28" s="6"/>
      <c r="N28">
        <f>(J28*L28/(L28+B8)-E28/101)*101/5000</f>
        <v>0.0029123639795070196</v>
      </c>
      <c r="O28" s="9">
        <f>INTERCEPT(H27:H29,N27:N29)*1000</f>
        <v>-0.009200290449567182</v>
      </c>
      <c r="P28">
        <f>N28*1000*O27+O28</f>
        <v>2.710975409961091</v>
      </c>
      <c r="Q28" s="11">
        <f>E28/B3*1000</f>
        <v>2.7148603578552972</v>
      </c>
      <c r="R28" s="11">
        <f>(Q28-P28)/Q28*100</f>
        <v>0.14309936358108197</v>
      </c>
    </row>
    <row r="29" spans="5:18" ht="12.75">
      <c r="E29">
        <v>140.156738095</v>
      </c>
      <c r="H29" s="6">
        <v>0.00362</v>
      </c>
      <c r="J29" s="12">
        <f>E29*(D28+B10)/D28</f>
        <v>159.48000808579081</v>
      </c>
      <c r="K29" s="13">
        <f>J29/101-J29*L24/(L24+B8)</f>
        <v>-0.0010117220289953543</v>
      </c>
      <c r="L29" s="7">
        <f>L24</f>
        <v>10006.471433422475</v>
      </c>
      <c r="M29" s="6"/>
      <c r="N29">
        <f>(J29*L29/(L29+B8)-E29/101)*101/5000</f>
        <v>0.0038850907831438695</v>
      </c>
      <c r="P29">
        <f>N29*1000*O27+O28</f>
        <v>3.6195115108776323</v>
      </c>
      <c r="Q29" s="11">
        <f>E29/B3*1000</f>
        <v>3.621621139405685</v>
      </c>
      <c r="R29" s="11">
        <f>(Q29-P29)/Q29*100</f>
        <v>0.058250944724682764</v>
      </c>
    </row>
    <row r="30" spans="10:17" ht="12.75">
      <c r="J30" s="7"/>
      <c r="L30" s="7"/>
      <c r="M30" s="6"/>
      <c r="Q30" s="11"/>
    </row>
    <row r="51" spans="5:22" ht="12.75">
      <c r="E51" s="1"/>
      <c r="F51" s="1"/>
      <c r="G51" s="1"/>
      <c r="K51" s="1"/>
      <c r="N51" s="3"/>
      <c r="O51" s="3"/>
      <c r="P51" s="3"/>
      <c r="Q51" s="3"/>
      <c r="S51" s="4"/>
      <c r="T51" s="4"/>
      <c r="U51" s="5"/>
      <c r="V51" s="4"/>
    </row>
    <row r="52" spans="5:11" ht="12.75">
      <c r="E52" s="1"/>
      <c r="F52" s="1"/>
      <c r="G52" s="1"/>
      <c r="K52" s="1"/>
    </row>
    <row r="57" spans="5:22" ht="12.75">
      <c r="E57" s="1"/>
      <c r="F57" s="1"/>
      <c r="G57" s="1"/>
      <c r="K57" s="1"/>
      <c r="N57" s="4"/>
      <c r="O57" s="4"/>
      <c r="P57" s="3"/>
      <c r="Q57" s="3"/>
      <c r="S57" s="4"/>
      <c r="T57" s="4"/>
      <c r="U57" s="5"/>
      <c r="V57" s="4"/>
    </row>
    <row r="58" spans="5:11" ht="12.75">
      <c r="E58" s="1"/>
      <c r="F58" s="1"/>
      <c r="G58" s="1"/>
      <c r="K58" s="1"/>
    </row>
    <row r="63" spans="5:11" ht="12.75">
      <c r="E63" s="1"/>
      <c r="F63" s="1"/>
      <c r="G63" s="1"/>
      <c r="K63" s="1"/>
    </row>
    <row r="64" spans="5:11" ht="12.75">
      <c r="E64" s="1"/>
      <c r="F64" s="1"/>
      <c r="G64" s="1"/>
      <c r="K64" s="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4"/>
  <sheetViews>
    <sheetView workbookViewId="0" topLeftCell="F1">
      <selection activeCell="E34" sqref="E34"/>
    </sheetView>
  </sheetViews>
  <sheetFormatPr defaultColWidth="9.140625" defaultRowHeight="12.75"/>
  <cols>
    <col min="1" max="1" width="32.140625" style="0" bestFit="1" customWidth="1"/>
    <col min="3" max="3" width="16.57421875" style="0" customWidth="1"/>
    <col min="4" max="4" width="23.57421875" style="0" bestFit="1" customWidth="1"/>
    <col min="5" max="5" width="12.57421875" style="0" bestFit="1" customWidth="1"/>
    <col min="6" max="7" width="12.57421875" style="0" customWidth="1"/>
    <col min="9" max="9" width="13.421875" style="0" bestFit="1" customWidth="1"/>
    <col min="13" max="13" width="9.57421875" style="0" bestFit="1" customWidth="1"/>
    <col min="14" max="14" width="14.57421875" style="0" customWidth="1"/>
    <col min="15" max="15" width="16.421875" style="0" customWidth="1"/>
    <col min="16" max="16" width="12.00390625" style="0" bestFit="1" customWidth="1"/>
    <col min="17" max="17" width="12.57421875" style="0" bestFit="1" customWidth="1"/>
    <col min="18" max="18" width="14.28125" style="0" bestFit="1" customWidth="1"/>
  </cols>
  <sheetData>
    <row r="1" spans="1:18" ht="12.75">
      <c r="A1" t="s">
        <v>39</v>
      </c>
      <c r="B1" t="s">
        <v>2</v>
      </c>
      <c r="D1" t="s">
        <v>23</v>
      </c>
      <c r="E1" s="2" t="s">
        <v>24</v>
      </c>
      <c r="F1" s="2" t="s">
        <v>0</v>
      </c>
      <c r="G1" s="2" t="s">
        <v>1</v>
      </c>
      <c r="H1" t="s">
        <v>25</v>
      </c>
      <c r="I1" t="s">
        <v>26</v>
      </c>
      <c r="J1" t="s">
        <v>27</v>
      </c>
      <c r="K1" t="s">
        <v>38</v>
      </c>
      <c r="L1" t="s">
        <v>28</v>
      </c>
      <c r="M1" t="s">
        <v>29</v>
      </c>
      <c r="N1" t="s">
        <v>30</v>
      </c>
      <c r="P1" t="s">
        <v>32</v>
      </c>
      <c r="Q1" t="s">
        <v>33</v>
      </c>
      <c r="R1" t="s">
        <v>34</v>
      </c>
    </row>
    <row r="2" spans="4:17" ht="12.75">
      <c r="D2" t="s">
        <v>36</v>
      </c>
      <c r="E2" s="2" t="s">
        <v>40</v>
      </c>
      <c r="F2" s="2" t="s">
        <v>40</v>
      </c>
      <c r="G2" s="2" t="s">
        <v>41</v>
      </c>
      <c r="H2" s="2" t="s">
        <v>42</v>
      </c>
      <c r="I2" s="2" t="s">
        <v>42</v>
      </c>
      <c r="J2" s="2" t="s">
        <v>40</v>
      </c>
      <c r="K2" s="2" t="s">
        <v>40</v>
      </c>
      <c r="L2" s="2" t="s">
        <v>43</v>
      </c>
      <c r="M2" s="2" t="s">
        <v>44</v>
      </c>
      <c r="N2" s="2" t="s">
        <v>42</v>
      </c>
      <c r="O2" s="2" t="s">
        <v>47</v>
      </c>
      <c r="P2" s="2" t="s">
        <v>45</v>
      </c>
      <c r="Q2" s="2" t="s">
        <v>45</v>
      </c>
    </row>
    <row r="3" spans="1:18" ht="12.75">
      <c r="A3" t="s">
        <v>3</v>
      </c>
      <c r="B3" s="6">
        <v>38700</v>
      </c>
      <c r="E3">
        <v>69.1832118437</v>
      </c>
      <c r="H3" s="6">
        <v>0.0018</v>
      </c>
      <c r="I3" s="6">
        <v>0.00192263676411</v>
      </c>
      <c r="J3" s="7">
        <f>E3*(B15+B10)/B15</f>
        <v>78.72143460075864</v>
      </c>
      <c r="K3">
        <f>(J3-E3-I3*B10)/101</f>
        <v>-0.0007421887474391354</v>
      </c>
      <c r="L3" s="7">
        <f>(100*J3-K3*10100)/(100*J3+101*K3)*10000</f>
        <v>10009.617634060955</v>
      </c>
      <c r="M3" s="6">
        <f>(B9-L3)/B9*100</f>
        <v>-0.09617634060954515</v>
      </c>
      <c r="N3">
        <f>(J3*L6/(L6+B8)-E3/101)*101/5000</f>
        <v>0.0019246403717182738</v>
      </c>
      <c r="O3" s="1">
        <f>LINEST(H3:H5,N3:N5,TRUE,TRUE)</f>
        <v>0.9397371084954268</v>
      </c>
      <c r="P3">
        <f>N3*1000*O9+O10</f>
        <v>1.7794603306737826</v>
      </c>
      <c r="Q3" s="11">
        <f>E3/B3*1000</f>
        <v>1.787679892602067</v>
      </c>
      <c r="R3" s="11">
        <f>(Q3-P3)/Q3*100</f>
        <v>0.4597893595100126</v>
      </c>
    </row>
    <row r="4" spans="1:18" ht="12.75">
      <c r="A4" t="s">
        <v>4</v>
      </c>
      <c r="B4" s="6">
        <v>20000000</v>
      </c>
      <c r="E4">
        <v>104.021367521</v>
      </c>
      <c r="H4" s="6">
        <v>0.00271</v>
      </c>
      <c r="I4" s="6">
        <v>0.00289185616127</v>
      </c>
      <c r="J4" s="7">
        <f>E4*(B15+B10)/B15</f>
        <v>118.36269323381474</v>
      </c>
      <c r="K4">
        <f>(J4-E4-I4*B10)/101</f>
        <v>-0.001167872213220429</v>
      </c>
      <c r="L4" s="7">
        <f>(100*J4-K4*10100)/(100*J4+101*K4)*10000</f>
        <v>10010.065319440726</v>
      </c>
      <c r="M4" s="6">
        <f>(B9-L4)/B9*100</f>
        <v>-0.10065319440725944</v>
      </c>
      <c r="N4">
        <f>(J4*L6/(L6+B8)-E4/101)*101/5000</f>
        <v>0.0028938194414067473</v>
      </c>
      <c r="O4" s="9">
        <f>INTERCEPT(H3:H5,N3:N5)*1000</f>
        <v>-0.008913677130938276</v>
      </c>
      <c r="P4">
        <f>N4*1000*O9+O10</f>
        <v>2.6816792647221503</v>
      </c>
      <c r="Q4" s="11">
        <f>E4/B3*1000</f>
        <v>2.687890633617571</v>
      </c>
      <c r="R4" s="11">
        <f>(Q4-P4)/Q4*100</f>
        <v>0.23108711410110844</v>
      </c>
    </row>
    <row r="5" spans="1:18" ht="12.75">
      <c r="A5" t="s">
        <v>5</v>
      </c>
      <c r="B5" s="6">
        <v>10000000</v>
      </c>
      <c r="E5">
        <v>138.80032906</v>
      </c>
      <c r="H5" s="6">
        <v>0.00362</v>
      </c>
      <c r="I5" s="6">
        <v>0.00386799121358</v>
      </c>
      <c r="J5" s="7">
        <f>E5*(B15+B10)/B15</f>
        <v>157.93659668975852</v>
      </c>
      <c r="K5">
        <f>(J5-E5-I5*B10)/101</f>
        <v>-0.0020167172093215847</v>
      </c>
      <c r="L5" s="7">
        <f>(100*J5-K5*10100)/(100*J5+101*K5)*10000</f>
        <v>10013.02598511538</v>
      </c>
      <c r="M5" s="6">
        <f>(B9-L5)/B9*100</f>
        <v>-0.13025985115380534</v>
      </c>
      <c r="N5">
        <f>(J5*L6/(L6+B8)-E5/101)*101/5000</f>
        <v>0.0038613517614676063</v>
      </c>
      <c r="P5">
        <f>N5*1000*O9+O10</f>
        <v>3.5823652223163847</v>
      </c>
      <c r="Q5" s="11">
        <f>E5/B3*1000</f>
        <v>3.586571810335917</v>
      </c>
      <c r="R5" s="11">
        <f>(Q5-P5)/Q5*100</f>
        <v>0.11728715447463928</v>
      </c>
    </row>
    <row r="6" spans="1:17" ht="12.75">
      <c r="A6" t="s">
        <v>6</v>
      </c>
      <c r="B6" s="6">
        <v>1000000</v>
      </c>
      <c r="J6" s="7"/>
      <c r="L6">
        <f>(L3+L4+L5)/3</f>
        <v>10010.902979539022</v>
      </c>
      <c r="M6" s="6">
        <f>(B9-L6)/B9*100</f>
        <v>-0.10902979539021544</v>
      </c>
      <c r="Q6" s="11"/>
    </row>
    <row r="7" spans="1:2" ht="12.75">
      <c r="A7" t="s">
        <v>7</v>
      </c>
      <c r="B7" s="6">
        <v>10000</v>
      </c>
    </row>
    <row r="8" spans="1:15" ht="12.75">
      <c r="A8" t="s">
        <v>8</v>
      </c>
      <c r="B8" s="6">
        <v>1000000</v>
      </c>
      <c r="D8" t="s">
        <v>37</v>
      </c>
      <c r="O8" s="2" t="s">
        <v>48</v>
      </c>
    </row>
    <row r="9" spans="1:18" ht="12.75">
      <c r="A9" t="s">
        <v>9</v>
      </c>
      <c r="B9" s="6">
        <v>10000</v>
      </c>
      <c r="E9">
        <v>30.645</v>
      </c>
      <c r="F9">
        <v>0.6304735</v>
      </c>
      <c r="G9">
        <f>F9/0.06166</f>
        <v>10.225</v>
      </c>
      <c r="I9">
        <f>G9*0.01209/1000</f>
        <v>0.00012362025</v>
      </c>
      <c r="J9" s="7">
        <f>E9*(B16+B10)/B16</f>
        <v>31.199798070745306</v>
      </c>
      <c r="K9">
        <f>(J9-E9-I9*B10)/101</f>
        <v>-0.0006267641510365696</v>
      </c>
      <c r="L9" s="7">
        <f>(100*J9-K9*10100)/(100*J9+101*K9)*10000</f>
        <v>10020.492923758507</v>
      </c>
      <c r="M9" s="6">
        <f>(B9-L9)/B9*100</f>
        <v>-0.2049292375850746</v>
      </c>
      <c r="N9" s="10">
        <f>(J9*L14/(L14+B8)-E9/101)*101/5000</f>
        <v>0.00011776685851327356</v>
      </c>
      <c r="O9">
        <v>0.930910460477</v>
      </c>
      <c r="P9">
        <f>N9*1000*O9+O10</f>
        <v>0.09742287647242119</v>
      </c>
      <c r="Q9" s="11">
        <f>E9/B13*1000</f>
        <v>0.05782075471698113</v>
      </c>
      <c r="R9" s="11">
        <f>(Q9-P9)/Q9*100</f>
        <v>-68.49118789487105</v>
      </c>
    </row>
    <row r="10" spans="1:18" ht="12.75">
      <c r="A10" t="s">
        <v>10</v>
      </c>
      <c r="B10" s="6">
        <v>5000</v>
      </c>
      <c r="E10">
        <v>50.9312</v>
      </c>
      <c r="F10" s="2">
        <v>0.998571688</v>
      </c>
      <c r="G10">
        <f>F10/0.06166</f>
        <v>16.19480518975024</v>
      </c>
      <c r="I10">
        <f>G10*0.01209/1000</f>
        <v>0.00019579519474408042</v>
      </c>
      <c r="J10" s="7">
        <f>E10*(B16+B10)/B16</f>
        <v>51.85326009139315</v>
      </c>
      <c r="K10">
        <f>(J10-E10-I10*B10)/101</f>
        <v>-0.000563523587398474</v>
      </c>
      <c r="L10" s="7">
        <f>(100*J10-K10*10100)/(100*J10+101*K10)*10000</f>
        <v>10011.086221393076</v>
      </c>
      <c r="M10" s="6">
        <f>(B9-L10)/B9*100</f>
        <v>-0.11086221393075903</v>
      </c>
      <c r="N10" s="10">
        <f>(J10*L14/(L14+B8)-E10/101)*101/5000</f>
        <v>0.00019572548292743245</v>
      </c>
      <c r="O10">
        <v>-0.0122075240151</v>
      </c>
      <c r="P10">
        <f>N10*1000*O9+O10</f>
        <v>0.16999537542395934</v>
      </c>
      <c r="Q10" s="11">
        <f>E10/B13*1000</f>
        <v>0.09609660377358491</v>
      </c>
      <c r="R10" s="11">
        <f>(Q10-P10)/Q10*100</f>
        <v>-76.9005029818627</v>
      </c>
    </row>
    <row r="11" spans="1:18" ht="12.75">
      <c r="A11" t="s">
        <v>11</v>
      </c>
      <c r="B11" s="6">
        <v>933000</v>
      </c>
      <c r="E11">
        <v>71.279</v>
      </c>
      <c r="F11">
        <v>1.451244058</v>
      </c>
      <c r="G11">
        <f>F11/0.06166</f>
        <v>23.536231884528057</v>
      </c>
      <c r="I11">
        <f>G11*0.01209/1000</f>
        <v>0.0002845530434839442</v>
      </c>
      <c r="J11" s="7">
        <f>E11*(B16+B10)/B16</f>
        <v>72.56943732043251</v>
      </c>
      <c r="K11">
        <f>(J11-E11-I11*B10)/101</f>
        <v>-0.0013101771978931104</v>
      </c>
      <c r="L11" s="7">
        <f>(100*J11-K11*10100)/(100*J11+101*K11)*10000</f>
        <v>10018.417341792941</v>
      </c>
      <c r="M11" s="6">
        <f>(B9-L11)/B9*100</f>
        <v>-0.1841734179294144</v>
      </c>
      <c r="N11" s="10">
        <f>(J11*L14/(L14+B8)-E11/101)*101/5000</f>
        <v>0.0002739208323696369</v>
      </c>
      <c r="P11">
        <f>N11*1000*O9+O10</f>
        <v>0.24278824418036177</v>
      </c>
      <c r="Q11" s="11">
        <f>E11/B13*1000</f>
        <v>0.13448867924528302</v>
      </c>
      <c r="R11" s="11">
        <f>(Q11-P11)/Q11*100</f>
        <v>-80.5269005114995</v>
      </c>
    </row>
    <row r="12" spans="1:18" ht="12.75">
      <c r="A12" t="s">
        <v>12</v>
      </c>
      <c r="B12" s="6">
        <v>1553000</v>
      </c>
      <c r="E12">
        <v>91.6884</v>
      </c>
      <c r="F12">
        <v>1.728708675</v>
      </c>
      <c r="G12">
        <f>F12/0.06166</f>
        <v>28.036144583198183</v>
      </c>
      <c r="I12">
        <f>G12*0.01209/1000</f>
        <v>0.00033895698801086606</v>
      </c>
      <c r="J12" s="7">
        <f>E12*(B16+B10)/B16</f>
        <v>93.3483297578634</v>
      </c>
      <c r="K12">
        <f>(J12-E12-I12*B10)/101</f>
        <v>-0.00034510081377163454</v>
      </c>
      <c r="L12" s="7">
        <f>(100*J12-K12*10100)/(100*J12+101*K12)*10000</f>
        <v>10003.771236780702</v>
      </c>
      <c r="M12" s="6">
        <f>(B9-L12)/B9*100</f>
        <v>-0.03771236780701657</v>
      </c>
      <c r="N12" s="10">
        <f>(J12*L14/(L14+B8)-E12/101)*101/5000</f>
        <v>0.00035235290683988693</v>
      </c>
      <c r="P12">
        <f>N12*1000*O9+O10</f>
        <v>0.31580148274162867</v>
      </c>
      <c r="Q12" s="11">
        <f>E12/B13*1000</f>
        <v>0.17299698113207548</v>
      </c>
      <c r="R12" s="11">
        <f>(Q12-P12)/Q12*100</f>
        <v>-82.54739514820106</v>
      </c>
    </row>
    <row r="13" spans="1:18" ht="12.75">
      <c r="A13" t="s">
        <v>50</v>
      </c>
      <c r="B13" s="8">
        <v>530000</v>
      </c>
      <c r="E13">
        <v>101.924</v>
      </c>
      <c r="F13">
        <v>1.896045</v>
      </c>
      <c r="G13">
        <f>F13/0.06166</f>
        <v>30.75</v>
      </c>
      <c r="I13">
        <f>G13*0.01209/1000</f>
        <v>0.0003717675</v>
      </c>
      <c r="J13" s="7">
        <f>E13*(B16+B10)/B16</f>
        <v>103.76923539117783</v>
      </c>
      <c r="K13">
        <f>(J13-E13-I13*B10)/101</f>
        <v>-0.00013467434477402911</v>
      </c>
      <c r="L13" s="7">
        <f>(100*J13-K13*10100)/(100*J13+101*K13)*10000</f>
        <v>10001.323913380167</v>
      </c>
      <c r="M13" s="6">
        <f>(B9-L13)/B9*100</f>
        <v>-0.013239133801671413</v>
      </c>
      <c r="N13" s="10">
        <f>(J13*L14/(L14+B8)-E13/101)*101/5000</f>
        <v>0.00039168769088291267</v>
      </c>
      <c r="P13">
        <f>N13*1000*O9+O10</f>
        <v>0.3524186446678851</v>
      </c>
      <c r="Q13" s="11">
        <f>E13/B13*1000</f>
        <v>0.19230943396226416</v>
      </c>
      <c r="R13" s="11">
        <f>(Q13-P13)/Q13*100</f>
        <v>-83.25603554999714</v>
      </c>
    </row>
    <row r="14" spans="10:14" ht="12.75">
      <c r="J14" s="7"/>
      <c r="L14">
        <f>(L9+L10+L11+L12+L13)/5</f>
        <v>10011.01832742108</v>
      </c>
      <c r="M14" s="6">
        <f>(B9-L14)/B9*100</f>
        <v>-0.11018327421079448</v>
      </c>
      <c r="N14" s="10"/>
    </row>
    <row r="15" spans="1:2" ht="12.75">
      <c r="A15" t="s">
        <v>14</v>
      </c>
      <c r="B15" s="6">
        <f>1/(1/(B6+B7)+1/B3+1/B5+1/B12)</f>
        <v>36266.30117885521</v>
      </c>
    </row>
    <row r="16" spans="1:4" ht="12.75">
      <c r="A16" t="s">
        <v>31</v>
      </c>
      <c r="B16" s="6">
        <f>1/(1/(B6+B7)+1/B13+1/B5+1/B12)</f>
        <v>276181.5660140287</v>
      </c>
      <c r="D16" t="s">
        <v>35</v>
      </c>
    </row>
    <row r="17" spans="1:2" ht="12.75">
      <c r="A17" t="s">
        <v>20</v>
      </c>
      <c r="B17" s="6">
        <v>0.0001</v>
      </c>
    </row>
    <row r="18" spans="1:4" ht="12.75">
      <c r="A18" t="s">
        <v>16</v>
      </c>
      <c r="B18" s="6">
        <v>70</v>
      </c>
      <c r="D18" t="s">
        <v>37</v>
      </c>
    </row>
    <row r="19" spans="1:18" ht="12.75">
      <c r="A19" t="s">
        <v>13</v>
      </c>
      <c r="B19" s="6">
        <f>B18*B15/(B15+B10)</f>
        <v>61.51850323383624</v>
      </c>
      <c r="E19">
        <v>30.645</v>
      </c>
      <c r="F19">
        <v>0.854676111</v>
      </c>
      <c r="G19">
        <f>F19/0.06166</f>
        <v>13.861111109309114</v>
      </c>
      <c r="I19">
        <f>G19*0.01209/1000</f>
        <v>0.0001675808333115472</v>
      </c>
      <c r="J19" s="7">
        <f>E19*(B16+B10)/B16</f>
        <v>31.199798070745306</v>
      </c>
      <c r="K19">
        <f>(J19-E19-I19*B10)/101</f>
        <v>-0.002803030651608214</v>
      </c>
      <c r="L19" s="7">
        <f>(100*J19-K19*10100)/(100*J19+101*K19)*10000</f>
        <v>10091.655434542996</v>
      </c>
      <c r="M19" s="6">
        <f>(B9-L19)/B9*100</f>
        <v>-0.9165543454299586</v>
      </c>
      <c r="N19" s="10">
        <f>(J19*L24/(L24+B8)-E19/101)*101/5000</f>
        <v>0.0001550500128040875</v>
      </c>
      <c r="P19">
        <f>N19*1000*O27+O28</f>
        <v>0.1299907223884904</v>
      </c>
      <c r="Q19" s="11">
        <f>E19/B13*1000</f>
        <v>0.05782075471698113</v>
      </c>
      <c r="R19" s="11">
        <f>(Q19-P19)/Q19*100</f>
        <v>-124.8167168082882</v>
      </c>
    </row>
    <row r="20" spans="1:18" ht="12.75">
      <c r="A20" t="s">
        <v>15</v>
      </c>
      <c r="B20" s="6">
        <f>B18*(B15+B10)/B15</f>
        <v>79.65083255317101</v>
      </c>
      <c r="E20">
        <v>51.1161</v>
      </c>
      <c r="F20">
        <v>1.3121248</v>
      </c>
      <c r="G20">
        <f>F20/0.06166</f>
        <v>21.28</v>
      </c>
      <c r="I20">
        <f>G20*0.01209/1000</f>
        <v>0.0002572752</v>
      </c>
      <c r="J20" s="7">
        <f>E20*(B16+B10)/B16</f>
        <v>52.041507526970925</v>
      </c>
      <c r="K20">
        <f>(J20-E20-I20*B10)/101</f>
        <v>-0.0035739452775156266</v>
      </c>
      <c r="L20" s="7">
        <f>(100*J20-K20*10100)/(100*J20+101*K20)*10000</f>
        <v>10070.06012403972</v>
      </c>
      <c r="M20" s="6">
        <f>(B9-L20)/B9*100</f>
        <v>-0.700601240397209</v>
      </c>
      <c r="N20" s="10">
        <f>(J20*L24/(L24+B8)-E20/101)*101/5000</f>
        <v>0.000258624635650023</v>
      </c>
      <c r="P20">
        <f>N20*1000*O27+O28</f>
        <v>0.22277994911396348</v>
      </c>
      <c r="Q20" s="11">
        <f>E20/B13*1000</f>
        <v>0.09644547169811321</v>
      </c>
      <c r="R20" s="11">
        <f>(Q20-P20)/Q20*100</f>
        <v>-130.99057445775526</v>
      </c>
    </row>
    <row r="21" spans="5:18" ht="12.75">
      <c r="E21">
        <v>71.5873</v>
      </c>
      <c r="F21">
        <v>1.853856579</v>
      </c>
      <c r="G21">
        <f>F21/0.06166</f>
        <v>30.065789474537787</v>
      </c>
      <c r="I21">
        <f>G21*0.01209/1000</f>
        <v>0.00036349539474716185</v>
      </c>
      <c r="J21" s="7">
        <f>E21*(B16+B10)/B16</f>
        <v>72.88331879359978</v>
      </c>
      <c r="K21">
        <f>(J21-E21-I21*B10)/101</f>
        <v>-0.005162952278574496</v>
      </c>
      <c r="L21" s="7">
        <f>(100*J21-K21*10100)/(100*J21+101*K21)*10000</f>
        <v>10072.267626557183</v>
      </c>
      <c r="M21" s="6">
        <f>(B9-L21)/B9*100</f>
        <v>-0.7226762655718266</v>
      </c>
      <c r="N21" s="10">
        <f>(J21*L24/(L24+B8)-E21/101)*101/5000</f>
        <v>0.00036219976445129773</v>
      </c>
      <c r="P21">
        <f>N21*1000*O27+O28</f>
        <v>0.3155696291088127</v>
      </c>
      <c r="Q21" s="11">
        <f>E21/B13*1000</f>
        <v>0.13507037735849056</v>
      </c>
      <c r="R21" s="11">
        <f>(Q21-P21)/Q21*100</f>
        <v>-133.63348446955078</v>
      </c>
    </row>
    <row r="22" spans="1:18" ht="12.75">
      <c r="A22" t="s">
        <v>17</v>
      </c>
      <c r="B22" s="6">
        <f>B18*B7/(B7+B6)</f>
        <v>0.693069306930693</v>
      </c>
      <c r="E22">
        <v>92.1817</v>
      </c>
      <c r="F22">
        <v>2.294265833</v>
      </c>
      <c r="G22">
        <f>F22/0.06166</f>
        <v>37.20833332792734</v>
      </c>
      <c r="I22">
        <f>G22*0.01209/1000</f>
        <v>0.0004498487499346416</v>
      </c>
      <c r="J22" s="7">
        <f>E22*(B16+B10)/B16</f>
        <v>93.85056047701167</v>
      </c>
      <c r="K22">
        <f>(J22-E22-I22*B10)/101</f>
        <v>-0.005746369036252923</v>
      </c>
      <c r="L22" s="7">
        <f>(100*J22-K22*10100)/(100*J22+101*K22)*10000</f>
        <v>10062.46349038019</v>
      </c>
      <c r="M22" s="6">
        <f>(B9-L22)/B9*100</f>
        <v>-0.624634903801907</v>
      </c>
      <c r="N22" s="10">
        <f>(J22*L24/(L24+B8)-E22/101)*101/5000</f>
        <v>0.00046639823022687183</v>
      </c>
      <c r="P22">
        <f>N22*1000*O27+O28</f>
        <v>0.40891773697185374</v>
      </c>
      <c r="Q22" s="11">
        <f>E22/B13*1000</f>
        <v>0.17392773584905663</v>
      </c>
      <c r="R22" s="11">
        <f>(Q22-P22)/Q22*100</f>
        <v>-135.10783658262156</v>
      </c>
    </row>
    <row r="23" spans="1:18" ht="12.75">
      <c r="A23" t="s">
        <v>18</v>
      </c>
      <c r="B23" s="6">
        <f>B18*B9/(B9+B8)</f>
        <v>0.693069306930693</v>
      </c>
      <c r="E23">
        <v>102.4789</v>
      </c>
      <c r="F23">
        <v>2.52883075</v>
      </c>
      <c r="G23">
        <f>F23/0.06166</f>
        <v>41.0125</v>
      </c>
      <c r="I23">
        <f>G23*0.01209/1000</f>
        <v>0.0004958411250000001</v>
      </c>
      <c r="J23" s="7">
        <f>E23*(B16+B10)/B16</f>
        <v>104.3341813187176</v>
      </c>
      <c r="K23">
        <f>(J23-E23-I23*B10)/101</f>
        <v>-0.00617746837903365</v>
      </c>
      <c r="L23" s="7">
        <f>(100*J23-K23*10100)/(100*J23+101*K23)*10000</f>
        <v>10060.402183423523</v>
      </c>
      <c r="M23" s="6">
        <f>(B9-L23)/B9*100</f>
        <v>-0.6040218342352274</v>
      </c>
      <c r="N23" s="10">
        <f>(J23*L24/(L24+B8)-E23/101)*101/5000</f>
        <v>0.0005184974631146622</v>
      </c>
      <c r="P23">
        <f>N23*1000*O27+O28</f>
        <v>0.45559179090337726</v>
      </c>
      <c r="Q23" s="11">
        <f>E23/B13*1000</f>
        <v>0.19335641509433962</v>
      </c>
      <c r="R23" s="11">
        <f>(Q23-P23)/Q23*100</f>
        <v>-135.622795696275</v>
      </c>
    </row>
    <row r="24" spans="1:14" ht="12.75">
      <c r="A24" t="s">
        <v>19</v>
      </c>
      <c r="B24">
        <f>(B18-B19-B17*B10)/101</f>
        <v>0.07902472045706692</v>
      </c>
      <c r="J24" s="7"/>
      <c r="L24">
        <f>(L19+L20+L21+L22+L23)/5</f>
        <v>10071.369771788723</v>
      </c>
      <c r="M24" s="6">
        <f>(B9-L24)/B9*100</f>
        <v>-0.7136977178872257</v>
      </c>
      <c r="N24" s="10"/>
    </row>
    <row r="25" spans="1:2" ht="12.75">
      <c r="A25" t="s">
        <v>21</v>
      </c>
      <c r="B25" s="6">
        <f>(100*B18-B24*10100)/(100*B18+101*B24)*10000</f>
        <v>8849.695630968019</v>
      </c>
    </row>
    <row r="26" spans="1:15" ht="12.75">
      <c r="A26" t="s">
        <v>22</v>
      </c>
      <c r="B26" s="6">
        <f>(B9-B25)/B9*100</f>
        <v>11.50304369031981</v>
      </c>
      <c r="D26" t="s">
        <v>46</v>
      </c>
      <c r="F26" s="2"/>
      <c r="G26" s="2"/>
      <c r="O26" s="2" t="s">
        <v>49</v>
      </c>
    </row>
    <row r="27" spans="4:18" ht="12.75">
      <c r="D27" s="14" t="s">
        <v>53</v>
      </c>
      <c r="E27">
        <v>69.1832118437</v>
      </c>
      <c r="H27" s="6">
        <v>0.0018</v>
      </c>
      <c r="J27" s="12">
        <f>E27*(D28+B10)/D28</f>
        <v>78.72141040096862</v>
      </c>
      <c r="K27" s="13">
        <f>J27/101-J27*L24/(L24+B8)</f>
        <v>-0.005507236657658843</v>
      </c>
      <c r="L27" s="7">
        <f>L24</f>
        <v>10071.369771788723</v>
      </c>
      <c r="M27" s="6"/>
      <c r="N27">
        <f>(J27*L27/(L27+B8)-E27/101)*101/5000</f>
        <v>0.002018885891938435</v>
      </c>
      <c r="O27" s="1">
        <f>LINEST(H27:H29,N27:N29,TRUE,TRUE)</f>
        <v>0.8958683524582517</v>
      </c>
      <c r="P27">
        <f>N27*1000*O27+O28</f>
        <v>1.7997423006811555</v>
      </c>
      <c r="Q27" s="11">
        <f>E27/B3*1000</f>
        <v>1.787679892602067</v>
      </c>
      <c r="R27" s="11">
        <f>(Q27-P27)/Q27*100</f>
        <v>-0.674752125870311</v>
      </c>
    </row>
    <row r="28" spans="4:18" ht="12.75">
      <c r="D28" s="6">
        <f>1/(1/(B6+L24)+1/B3+1/B5+1/B12)</f>
        <v>36266.39319170943</v>
      </c>
      <c r="E28">
        <v>104.021367521</v>
      </c>
      <c r="H28" s="6">
        <v>0.00271</v>
      </c>
      <c r="J28" s="12">
        <f>E28*(D28+B10)/D28</f>
        <v>118.36265684788839</v>
      </c>
      <c r="K28" s="13">
        <f>J28/101-J28*L24/(L24+B8)</f>
        <v>-0.008280481248625682</v>
      </c>
      <c r="L28" s="7">
        <f>L24</f>
        <v>10071.369771788723</v>
      </c>
      <c r="M28" s="6"/>
      <c r="N28">
        <f>(J28*L28/(L28+B8)-E28/101)*101/5000</f>
        <v>0.0030355235865999167</v>
      </c>
      <c r="O28" s="9">
        <f>INTERCEPT(H27:H29,N27:N29)*1000</f>
        <v>-0.008913677130938276</v>
      </c>
      <c r="P28">
        <f>N28*1000*O27+O28</f>
        <v>2.7105158372444924</v>
      </c>
      <c r="Q28" s="11">
        <f>E28/B3*1000</f>
        <v>2.687890633617571</v>
      </c>
      <c r="R28" s="11">
        <f>(Q28-P28)/Q28*100</f>
        <v>-0.8417456924752355</v>
      </c>
    </row>
    <row r="29" spans="5:18" ht="12.75">
      <c r="E29">
        <v>138.80032906</v>
      </c>
      <c r="H29" s="6">
        <v>0.00362</v>
      </c>
      <c r="J29" s="12">
        <f>E29*(D28+B10)/D28</f>
        <v>157.9365481384015</v>
      </c>
      <c r="K29" s="13">
        <f>J29/101-J29*L24/(L24+B8)</f>
        <v>-0.011049013769717897</v>
      </c>
      <c r="L29" s="7">
        <f>L24</f>
        <v>10071.369771788723</v>
      </c>
      <c r="M29" s="6"/>
      <c r="N29">
        <f>(J29*L29/(L29+B8)-E29/101)*101/5000</f>
        <v>0.004050433893828602</v>
      </c>
      <c r="P29">
        <f>N29*1000*O27+O28</f>
        <v>3.6197418620743527</v>
      </c>
      <c r="Q29" s="11">
        <f>E29/B3*1000</f>
        <v>3.586571810335917</v>
      </c>
      <c r="R29" s="11">
        <f>(Q29-P29)/Q29*100</f>
        <v>-0.9248400280971583</v>
      </c>
    </row>
    <row r="30" spans="10:17" ht="12.75">
      <c r="J30" s="7"/>
      <c r="L30" s="7"/>
      <c r="M30" s="6"/>
      <c r="Q30" s="11"/>
    </row>
    <row r="51" spans="5:22" ht="12.75">
      <c r="E51" s="1"/>
      <c r="F51" s="1"/>
      <c r="G51" s="1"/>
      <c r="K51" s="1"/>
      <c r="N51" s="3"/>
      <c r="O51" s="3"/>
      <c r="P51" s="3"/>
      <c r="Q51" s="3"/>
      <c r="S51" s="4"/>
      <c r="T51" s="4"/>
      <c r="U51" s="5"/>
      <c r="V51" s="4"/>
    </row>
    <row r="52" spans="5:11" ht="12.75">
      <c r="E52" s="1"/>
      <c r="F52" s="1"/>
      <c r="G52" s="1"/>
      <c r="K52" s="1"/>
    </row>
    <row r="57" spans="5:22" ht="12.75">
      <c r="E57" s="1"/>
      <c r="F57" s="1"/>
      <c r="G57" s="1"/>
      <c r="K57" s="1"/>
      <c r="N57" s="4"/>
      <c r="O57" s="4"/>
      <c r="P57" s="3"/>
      <c r="Q57" s="3"/>
      <c r="S57" s="4"/>
      <c r="T57" s="4"/>
      <c r="U57" s="5"/>
      <c r="V57" s="4"/>
    </row>
    <row r="58" spans="5:11" ht="12.75">
      <c r="E58" s="1"/>
      <c r="F58" s="1"/>
      <c r="G58" s="1"/>
      <c r="K58" s="1"/>
    </row>
    <row r="63" spans="5:11" ht="12.75">
      <c r="E63" s="1"/>
      <c r="F63" s="1"/>
      <c r="G63" s="1"/>
      <c r="K63" s="1"/>
    </row>
    <row r="64" spans="5:11" ht="12.75">
      <c r="E64" s="1"/>
      <c r="F64" s="1"/>
      <c r="G64" s="1"/>
      <c r="K64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leosap</dc:creator>
  <cp:keywords/>
  <dc:description/>
  <cp:lastModifiedBy>leosap</cp:lastModifiedBy>
  <dcterms:created xsi:type="dcterms:W3CDTF">2005-09-07T17:20:02Z</dcterms:created>
  <dcterms:modified xsi:type="dcterms:W3CDTF">2005-09-09T22:35:40Z</dcterms:modified>
  <cp:category/>
  <cp:version/>
  <cp:contentType/>
  <cp:contentStatus/>
</cp:coreProperties>
</file>